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41A728D-BAAB-47F5-8CE6-49F1B357EB47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Проект" sheetId="36" r:id="rId1"/>
  </sheets>
  <definedNames>
    <definedName name="_xlnm._FilterDatabase" localSheetId="0" hidden="1">Проект!$A$1:$L$151</definedName>
    <definedName name="_xlnm.Print_Titles" localSheetId="0">Проект!$5:$7</definedName>
    <definedName name="_xlnm.Print_Area" localSheetId="0">Проект!$B$1:$L$151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36" l="1"/>
  <c r="F59" i="36"/>
  <c r="G100" i="36" l="1"/>
  <c r="G99" i="36"/>
  <c r="F99" i="36"/>
  <c r="F100" i="36"/>
  <c r="H100" i="36" l="1"/>
  <c r="I100" i="36"/>
  <c r="J100" i="36"/>
  <c r="K100" i="36"/>
  <c r="L100" i="36"/>
  <c r="F127" i="36" l="1"/>
  <c r="F126" i="36"/>
  <c r="G133" i="36" l="1"/>
  <c r="G132" i="36"/>
  <c r="H73" i="36" l="1"/>
  <c r="G73" i="36"/>
  <c r="F73" i="36"/>
  <c r="F34" i="36" l="1"/>
  <c r="F121" i="36" l="1"/>
  <c r="G15" i="36" l="1"/>
  <c r="G43" i="36" l="1"/>
  <c r="G40" i="36"/>
  <c r="G121" i="36"/>
  <c r="G33" i="36"/>
  <c r="G18" i="36"/>
  <c r="E140" i="36"/>
  <c r="E137" i="36"/>
  <c r="E138" i="36"/>
  <c r="E139" i="36"/>
  <c r="E136" i="36"/>
  <c r="E135" i="36"/>
  <c r="F134" i="36"/>
  <c r="G134" i="36"/>
  <c r="H134" i="36"/>
  <c r="I134" i="36"/>
  <c r="J134" i="36"/>
  <c r="K134" i="36"/>
  <c r="L134" i="36"/>
  <c r="F133" i="36"/>
  <c r="E133" i="36" s="1"/>
  <c r="F132" i="36"/>
  <c r="F78" i="36"/>
  <c r="G130" i="36"/>
  <c r="G129" i="36"/>
  <c r="F130" i="36"/>
  <c r="F129" i="36"/>
  <c r="G127" i="36"/>
  <c r="G126" i="36"/>
  <c r="E134" i="36" l="1"/>
  <c r="F120" i="36" l="1"/>
  <c r="G120" i="36"/>
  <c r="H120" i="36"/>
  <c r="I120" i="36"/>
  <c r="J120" i="36"/>
  <c r="K120" i="36"/>
  <c r="E122" i="36"/>
  <c r="G59" i="36" l="1"/>
  <c r="G14" i="36" s="1"/>
  <c r="F50" i="36"/>
  <c r="E97" i="36"/>
  <c r="E96" i="36"/>
  <c r="E94" i="36"/>
  <c r="E151" i="36" l="1"/>
  <c r="F145" i="36"/>
  <c r="G41" i="36" l="1"/>
  <c r="G13" i="36" s="1"/>
  <c r="G125" i="36"/>
  <c r="H125" i="36"/>
  <c r="I125" i="36"/>
  <c r="J125" i="36"/>
  <c r="K125" i="36"/>
  <c r="L125" i="36"/>
  <c r="F125" i="36"/>
  <c r="G131" i="36"/>
  <c r="H131" i="36"/>
  <c r="I131" i="36"/>
  <c r="J131" i="36"/>
  <c r="K131" i="36"/>
  <c r="L131" i="36"/>
  <c r="F131" i="36"/>
  <c r="E132" i="36"/>
  <c r="G128" i="36"/>
  <c r="H128" i="36"/>
  <c r="I128" i="36"/>
  <c r="J128" i="36"/>
  <c r="K128" i="36"/>
  <c r="L128" i="36"/>
  <c r="F128" i="36"/>
  <c r="E126" i="36"/>
  <c r="E129" i="36"/>
  <c r="E130" i="36"/>
  <c r="E125" i="36" l="1"/>
  <c r="E131" i="36"/>
  <c r="E128" i="36"/>
  <c r="E127" i="36"/>
  <c r="F83" i="36"/>
  <c r="F40" i="36" l="1"/>
  <c r="F41" i="36"/>
  <c r="F44" i="36"/>
  <c r="F45" i="36"/>
  <c r="F46" i="36"/>
  <c r="E95" i="36"/>
  <c r="E93" i="36"/>
  <c r="E150" i="36" l="1"/>
  <c r="G72" i="36" l="1"/>
  <c r="H72" i="36"/>
  <c r="I72" i="36"/>
  <c r="J72" i="36"/>
  <c r="K72" i="36"/>
  <c r="L72" i="36"/>
  <c r="H15" i="36" l="1"/>
  <c r="G11" i="36"/>
  <c r="E74" i="36"/>
  <c r="E56" i="36" l="1"/>
  <c r="E55" i="36"/>
  <c r="E54" i="36"/>
  <c r="L53" i="36"/>
  <c r="K53" i="36"/>
  <c r="J53" i="36"/>
  <c r="I53" i="36"/>
  <c r="H53" i="36"/>
  <c r="G53" i="36"/>
  <c r="F53" i="36"/>
  <c r="E53" i="36" l="1"/>
  <c r="F15" i="36"/>
  <c r="F148" i="36" l="1"/>
  <c r="F144" i="36"/>
  <c r="F11" i="36"/>
  <c r="E92" i="36"/>
  <c r="F118" i="36"/>
  <c r="F142" i="36" l="1"/>
  <c r="F91" i="36"/>
  <c r="E91" i="36"/>
  <c r="F90" i="36"/>
  <c r="E90" i="36" s="1"/>
  <c r="F89" i="36"/>
  <c r="E89" i="36" s="1"/>
  <c r="F88" i="36"/>
  <c r="F87" i="36"/>
  <c r="E87" i="36"/>
  <c r="E88" i="36"/>
  <c r="E86" i="36"/>
  <c r="E84" i="36"/>
  <c r="F85" i="36"/>
  <c r="E85" i="36" s="1"/>
  <c r="H66" i="36"/>
  <c r="H13" i="36" s="1"/>
  <c r="F65" i="36"/>
  <c r="E45" i="36"/>
  <c r="F29" i="36"/>
  <c r="F33" i="36"/>
  <c r="F72" i="36"/>
  <c r="F13" i="36" l="1"/>
  <c r="E66" i="36"/>
  <c r="G12" i="36"/>
  <c r="I147" i="36"/>
  <c r="E78" i="36" l="1"/>
  <c r="E79" i="36"/>
  <c r="E80" i="36"/>
  <c r="E82" i="36"/>
  <c r="E103" i="36"/>
  <c r="I99" i="36" l="1"/>
  <c r="L13" i="36"/>
  <c r="K13" i="36"/>
  <c r="J147" i="36"/>
  <c r="K147" i="36"/>
  <c r="L147" i="36"/>
  <c r="E110" i="36"/>
  <c r="E109" i="36"/>
  <c r="E108" i="36"/>
  <c r="E107" i="36"/>
  <c r="F106" i="36"/>
  <c r="E106" i="36" s="1"/>
  <c r="E111" i="36"/>
  <c r="E67" i="36"/>
  <c r="E48" i="36"/>
  <c r="E36" i="36"/>
  <c r="E35" i="36"/>
  <c r="E27" i="36"/>
  <c r="E26" i="36"/>
  <c r="E25" i="36"/>
  <c r="E24" i="36"/>
  <c r="E23" i="36"/>
  <c r="E22" i="36"/>
  <c r="E21" i="36"/>
  <c r="E20" i="36"/>
  <c r="E17" i="36"/>
  <c r="F37" i="36" l="1"/>
  <c r="H14" i="36"/>
  <c r="E100" i="36"/>
  <c r="H99" i="36"/>
  <c r="J99" i="36"/>
  <c r="K99" i="36"/>
  <c r="F14" i="36"/>
  <c r="G117" i="36"/>
  <c r="H117" i="36"/>
  <c r="I117" i="36"/>
  <c r="J117" i="36"/>
  <c r="K117" i="36"/>
  <c r="L117" i="36"/>
  <c r="F117" i="36"/>
  <c r="E118" i="36"/>
  <c r="G77" i="36"/>
  <c r="H77" i="36"/>
  <c r="I77" i="36"/>
  <c r="J77" i="36"/>
  <c r="K77" i="36"/>
  <c r="L77" i="36"/>
  <c r="F77" i="36"/>
  <c r="E65" i="36"/>
  <c r="E46" i="36"/>
  <c r="G143" i="36"/>
  <c r="H143" i="36"/>
  <c r="I143" i="36"/>
  <c r="J143" i="36"/>
  <c r="K143" i="36"/>
  <c r="L143" i="36"/>
  <c r="F143" i="36"/>
  <c r="F141" i="36" s="1"/>
  <c r="I142" i="36"/>
  <c r="J142" i="36"/>
  <c r="K142" i="36"/>
  <c r="L142" i="36"/>
  <c r="H11" i="36"/>
  <c r="I15" i="36"/>
  <c r="J15" i="36"/>
  <c r="J11" i="36" s="1"/>
  <c r="K15" i="36"/>
  <c r="L15" i="36"/>
  <c r="I14" i="36"/>
  <c r="I10" i="36" s="1"/>
  <c r="J14" i="36"/>
  <c r="J10" i="36" s="1"/>
  <c r="K14" i="36"/>
  <c r="K10" i="36" s="1"/>
  <c r="L14" i="36"/>
  <c r="L10" i="36" s="1"/>
  <c r="G32" i="36"/>
  <c r="H32" i="36"/>
  <c r="I32" i="36"/>
  <c r="J32" i="36"/>
  <c r="K32" i="36"/>
  <c r="L32" i="36"/>
  <c r="F32" i="36"/>
  <c r="F57" i="36"/>
  <c r="G57" i="36"/>
  <c r="H57" i="36"/>
  <c r="I57" i="36"/>
  <c r="J57" i="36"/>
  <c r="K57" i="36"/>
  <c r="L57" i="36"/>
  <c r="E81" i="36"/>
  <c r="E58" i="36"/>
  <c r="E39" i="36"/>
  <c r="G37" i="36"/>
  <c r="H37" i="36"/>
  <c r="I37" i="36"/>
  <c r="J37" i="36"/>
  <c r="K37" i="36"/>
  <c r="L37" i="36"/>
  <c r="E38" i="36"/>
  <c r="E33" i="36"/>
  <c r="H148" i="36"/>
  <c r="H147" i="36" s="1"/>
  <c r="G148" i="36"/>
  <c r="G142" i="36" s="1"/>
  <c r="F147" i="36"/>
  <c r="E149" i="36"/>
  <c r="E76" i="36"/>
  <c r="G147" i="36"/>
  <c r="F60" i="36"/>
  <c r="E123" i="36"/>
  <c r="E34" i="36"/>
  <c r="I43" i="36"/>
  <c r="I13" i="36" s="1"/>
  <c r="J43" i="36"/>
  <c r="J13" i="36" s="1"/>
  <c r="E102" i="36"/>
  <c r="L121" i="36"/>
  <c r="L120" i="36" s="1"/>
  <c r="L124" i="36"/>
  <c r="E70" i="36"/>
  <c r="E71" i="36"/>
  <c r="E73" i="36"/>
  <c r="E72" i="36" s="1"/>
  <c r="E75" i="36"/>
  <c r="E83" i="36"/>
  <c r="E64" i="36"/>
  <c r="E68" i="36"/>
  <c r="E69" i="36"/>
  <c r="G60" i="36"/>
  <c r="H60" i="36"/>
  <c r="I60" i="36"/>
  <c r="J60" i="36"/>
  <c r="K60" i="36"/>
  <c r="L60" i="36"/>
  <c r="E63" i="36"/>
  <c r="E62" i="36"/>
  <c r="E61" i="36"/>
  <c r="E59" i="36"/>
  <c r="G49" i="36"/>
  <c r="H49" i="36"/>
  <c r="I49" i="36"/>
  <c r="J49" i="36"/>
  <c r="K49" i="36"/>
  <c r="L49" i="36"/>
  <c r="F49" i="36"/>
  <c r="E50" i="36"/>
  <c r="E51" i="36"/>
  <c r="E52" i="36"/>
  <c r="E44" i="36"/>
  <c r="E47" i="36"/>
  <c r="E40" i="36"/>
  <c r="E41" i="36"/>
  <c r="E42" i="36"/>
  <c r="E29" i="36"/>
  <c r="E30" i="36"/>
  <c r="E31" i="36"/>
  <c r="E28" i="36"/>
  <c r="E16" i="36"/>
  <c r="E18" i="36"/>
  <c r="E19" i="36"/>
  <c r="E112" i="36"/>
  <c r="E113" i="36"/>
  <c r="E114" i="36"/>
  <c r="E115" i="36"/>
  <c r="E116" i="36"/>
  <c r="E104" i="36"/>
  <c r="E105" i="36"/>
  <c r="E119" i="36"/>
  <c r="E145" i="36"/>
  <c r="E144" i="36"/>
  <c r="E146" i="36"/>
  <c r="E124" i="36"/>
  <c r="E13" i="36" l="1"/>
  <c r="I141" i="36"/>
  <c r="G141" i="36"/>
  <c r="F10" i="36"/>
  <c r="G9" i="36"/>
  <c r="F9" i="36"/>
  <c r="E43" i="36"/>
  <c r="L141" i="36"/>
  <c r="H10" i="36"/>
  <c r="H98" i="36"/>
  <c r="G10" i="36"/>
  <c r="J98" i="36"/>
  <c r="K141" i="36"/>
  <c r="K11" i="36"/>
  <c r="L11" i="36"/>
  <c r="K98" i="36"/>
  <c r="E49" i="36"/>
  <c r="E147" i="36"/>
  <c r="G98" i="36"/>
  <c r="L99" i="36"/>
  <c r="L9" i="36" s="1"/>
  <c r="E148" i="36"/>
  <c r="H142" i="36"/>
  <c r="H141" i="36" s="1"/>
  <c r="E32" i="36"/>
  <c r="E101" i="36"/>
  <c r="I11" i="36"/>
  <c r="E15" i="36"/>
  <c r="I98" i="36"/>
  <c r="E121" i="36"/>
  <c r="E120" i="36" s="1"/>
  <c r="E60" i="36"/>
  <c r="E37" i="36"/>
  <c r="E77" i="36"/>
  <c r="E117" i="36"/>
  <c r="F98" i="36"/>
  <c r="J141" i="36"/>
  <c r="K9" i="36"/>
  <c r="E57" i="36"/>
  <c r="J12" i="36"/>
  <c r="J9" i="36"/>
  <c r="J8" i="36" s="1"/>
  <c r="I12" i="36"/>
  <c r="I9" i="36"/>
  <c r="K12" i="36"/>
  <c r="L12" i="36"/>
  <c r="H12" i="36"/>
  <c r="F12" i="36"/>
  <c r="E143" i="36"/>
  <c r="E14" i="36"/>
  <c r="E142" i="36" l="1"/>
  <c r="E141" i="36"/>
  <c r="E11" i="36"/>
  <c r="L98" i="36"/>
  <c r="H9" i="36"/>
  <c r="E9" i="36" s="1"/>
  <c r="E10" i="36"/>
  <c r="H8" i="36"/>
  <c r="I8" i="36"/>
  <c r="K8" i="36"/>
  <c r="G8" i="36"/>
  <c r="L8" i="36"/>
  <c r="E98" i="36"/>
  <c r="E99" i="36"/>
  <c r="F8" i="36"/>
  <c r="E12" i="36"/>
  <c r="E8" i="36" l="1"/>
</calcChain>
</file>

<file path=xl/sharedStrings.xml><?xml version="1.0" encoding="utf-8"?>
<sst xmlns="http://schemas.openxmlformats.org/spreadsheetml/2006/main" count="260" uniqueCount="119">
  <si>
    <t>Ответственный исполнитель муниципальной программы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</si>
  <si>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</si>
  <si>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</si>
  <si>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</si>
  <si>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</si>
  <si>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</si>
  <si>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</si>
  <si>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</si>
  <si>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</si>
  <si>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</si>
  <si>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</si>
  <si>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</si>
  <si>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</si>
  <si>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бюджет города Пензы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</si>
  <si>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</si>
  <si>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</si>
  <si>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</si>
  <si>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</si>
  <si>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Стимулирование развития жилищного строительства в городе Пензе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</si>
  <si>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</si>
  <si>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</si>
  <si>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</si>
  <si>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</si>
  <si>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</si>
  <si>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</si>
  <si>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</si>
  <si>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</si>
  <si>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</si>
  <si>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лагеря "Орленок"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</si>
  <si>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</si>
  <si>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</si>
  <si>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</si>
  <si>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</si>
  <si>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</si>
  <si>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</si>
  <si>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</si>
  <si>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</si>
  <si>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</si>
  <si>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</si>
  <si>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</si>
  <si>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</si>
  <si>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</si>
  <si>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</si>
  <si>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на пересечении улиц Плеханова-Пушкина, г.Пенза</t>
  </si>
  <si>
    <t>Строительство домов для переселения граждан из аварийного жилья</t>
  </si>
  <si>
    <t>Корпус №2 детского сада по ул. Турищева, 1, г. Пенза</t>
  </si>
  <si>
    <t>Объект культурного наследия регионального значения «Дом жилой (деревянный), XIX в.», г.Пенза</t>
  </si>
  <si>
    <t>Сквер в раоне дизельного завода по ул.Калинина,128 А, г.Пенза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</si>
  <si>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</si>
  <si>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</si>
  <si>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</si>
  <si>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</si>
  <si>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</si>
  <si>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</si>
  <si>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2020-2026 годы» за счет всех источников финансирования</t>
  </si>
  <si>
    <t xml:space="preserve">Приложение №2 
к муниципальной программе 
«Развитие территорий, социальной 
и инженерной инфраструктуры 
в городе Пензе на 2020-2026 годы»
</t>
  </si>
  <si>
    <t>Развитие территорий, социальной и инженерной инфраструктуры города Пензы на 2020-2026 годы</t>
  </si>
  <si>
    <t>Сети водоотведения микрорайона,расположенного между пос.Нефтяник и пос.Заря, г.Пенза</t>
  </si>
  <si>
    <t>Управление градостроительства и архитектуры города Пензы</t>
  </si>
  <si>
    <t>Руководство и управление в сфере установленных функций</t>
  </si>
  <si>
    <t>Крытый каток с искусственным льдом по ул.65-летия Победы, 8 мкр.Арбеково, г.Пенза</t>
  </si>
  <si>
    <t>Фонтан, расположенный в районе дома №39а по ул. Московская, с благоустройством прилегающей территории, г. Пенза</t>
  </si>
  <si>
    <t>Реконструкция водопровода в районе набережной р. Суры, на участке от ул. Славы до ул. Набережная р. Пензы, г. Пенза</t>
  </si>
  <si>
    <t>Сквер в границах улиц Московская, Володарского, Пушкина, г. Пенза</t>
  </si>
  <si>
    <t>Здание ТЮЗ по ул. Тарханова 11а, г. Пенза</t>
  </si>
  <si>
    <t>Строительство автодороги в микрорайоне, распложенном между пос. Нефтяник и пос. Заря, г. 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</si>
  <si>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</si>
  <si>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</si>
  <si>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</si>
  <si>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</si>
  <si>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</si>
  <si>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</si>
  <si>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</si>
  <si>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</si>
  <si>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</si>
  <si>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</si>
  <si>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</si>
  <si>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</si>
  <si>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</si>
  <si>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</si>
  <si>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</si>
  <si>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</si>
  <si>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</si>
  <si>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</si>
  <si>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Сквер в границах улиц Урицкого, Кирова, Славы, г. Пенза</t>
  </si>
  <si>
    <t>Здание по ул. Богданова 19, г. Пенза</t>
  </si>
  <si>
    <t>Здание по ул. Кирова, 39, г. Пенза</t>
  </si>
  <si>
    <t>Нежилое здание (Дом культуры), ул. Леонова, 1А, г. Пенза</t>
  </si>
  <si>
    <t>Кладбище площадью 40га на участке, расположенном севернее Восточного кладбища (г. Пенза, ул. Осенняя)</t>
  </si>
  <si>
    <t>Лестница от ул. Кирова, 5 до ул. Спасо-Преображенская, 6А, г. Пенза</t>
  </si>
  <si>
    <t>Ул. Московская в границах ул. Кураева и ул. Карла Маркса,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</si>
  <si>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</si>
  <si>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</si>
  <si>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</si>
  <si>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</si>
  <si>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</si>
  <si>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</si>
  <si>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Строительство сетей водоснабжения в мкр. №6 "Заря-1" севернее ул. Магистральная, г. Пенза</t>
  </si>
  <si>
    <t>Школа в районе ул. Измайлова, 76, г. Пенза</t>
  </si>
  <si>
    <t>Корпус №2 детского сада по ул. Красная,26 А, г. Пенза</t>
  </si>
  <si>
    <t xml:space="preserve">    </t>
  </si>
  <si>
    <t>Автомобильная дорога от границы города Пензы (в районе ул. Романовка) до ул. Окружная / Воронова, г. Пенза</t>
  </si>
  <si>
    <t>Расходы на проведение общегородских конкурсов</t>
  </si>
  <si>
    <t>Жилой дом по адресу: г. Пенза, ул. Новоселов, д. 111</t>
  </si>
  <si>
    <t>Жилой дом по адресу: г. Пенза, ул. Новоселов, д. 114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</si>
  <si>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</si>
  <si>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</si>
  <si>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</si>
  <si>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</si>
  <si>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Детский сад по ул.Антонова,52, г.Пенза</t>
  </si>
  <si>
    <t>Жилой дом по адресу: г. Пенза, ул. Новоселов, д. 112</t>
  </si>
  <si>
    <t>Жилой дом по адресу: г. Пенза, ул. Новоселов, д. 115</t>
  </si>
  <si>
    <t>Автомобильная дорога по ул. Рябова,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</si>
  <si>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</si>
  <si>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</si>
  <si>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</si>
  <si>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</si>
  <si>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Детский сад на 150 мест в микрорайоне №2 жилого района Кривозерье — Веселовка г. Пензы</t>
  </si>
  <si>
    <t>Приложение № 1  к Постановлению администрации города Пензы от 03.07.2020 № 878/10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</si>
</sst>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3" fillId="0" borderId="9">
      <alignment horizontal="right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5" fontId="2" fillId="0" borderId="1" xfId="3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1" fillId="3" borderId="0" xfId="2" applyNumberFormat="1" applyFont="1" applyFill="1"/>
    <xf numFmtId="0" fontId="3" fillId="3" borderId="0" xfId="0" applyFont="1" applyFill="1"/>
    <xf numFmtId="0" fontId="1" fillId="3" borderId="0" xfId="2" applyFont="1" applyFill="1" applyAlignment="1">
      <alignment vertical="top" wrapText="1"/>
    </xf>
    <xf numFmtId="0" fontId="4" fillId="3" borderId="0" xfId="2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49" fontId="9" fillId="3" borderId="1" xfId="2" applyNumberFormat="1" applyFont="1" applyFill="1" applyBorder="1" applyAlignment="1">
      <alignment horizontal="center" vertical="top" wrapText="1"/>
    </xf>
    <xf numFmtId="1" fontId="2" fillId="3" borderId="1" xfId="2" applyNumberFormat="1" applyFont="1" applyFill="1" applyBorder="1" applyAlignment="1">
      <alignment horizontal="center" vertical="top" wrapText="1"/>
    </xf>
    <xf numFmtId="3" fontId="2" fillId="3" borderId="1" xfId="2" applyNumberFormat="1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justify" vertical="top" wrapText="1"/>
    </xf>
    <xf numFmtId="49" fontId="9" fillId="3" borderId="1" xfId="2" applyNumberFormat="1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vertical="center" wrapText="1"/>
    </xf>
    <xf numFmtId="165" fontId="9" fillId="3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justify" vertical="top" wrapText="1"/>
    </xf>
    <xf numFmtId="165" fontId="15" fillId="3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1" fillId="3" borderId="0" xfId="2" applyFont="1" applyFill="1" applyBorder="1"/>
    <xf numFmtId="49" fontId="1" fillId="3" borderId="1" xfId="2" applyNumberFormat="1" applyFont="1" applyFill="1" applyBorder="1"/>
    <xf numFmtId="2" fontId="2" fillId="3" borderId="1" xfId="2" applyNumberFormat="1" applyFont="1" applyFill="1" applyBorder="1" applyAlignment="1">
      <alignment wrapText="1"/>
    </xf>
    <xf numFmtId="165" fontId="2" fillId="3" borderId="1" xfId="2" applyNumberFormat="1" applyFont="1" applyFill="1" applyBorder="1" applyAlignment="1">
      <alignment horizontal="center" vertical="center"/>
    </xf>
    <xf numFmtId="165" fontId="1" fillId="3" borderId="0" xfId="2" applyNumberFormat="1" applyFont="1" applyFill="1"/>
    <xf numFmtId="0" fontId="8" fillId="3" borderId="0" xfId="2" applyFont="1" applyFill="1"/>
    <xf numFmtId="49" fontId="10" fillId="3" borderId="0" xfId="2" applyNumberFormat="1" applyFont="1" applyFill="1"/>
    <xf numFmtId="165" fontId="8" fillId="3" borderId="0" xfId="2" applyNumberFormat="1" applyFont="1" applyFill="1"/>
    <xf numFmtId="49" fontId="11" fillId="3" borderId="0" xfId="0" applyNumberFormat="1" applyFont="1" applyFill="1"/>
    <xf numFmtId="165" fontId="3" fillId="3" borderId="0" xfId="0" applyNumberFormat="1" applyFont="1" applyFill="1"/>
    <xf numFmtId="0" fontId="16" fillId="3" borderId="1" xfId="0" applyFont="1" applyFill="1" applyBorder="1"/>
    <xf numFmtId="0" fontId="16" fillId="0" borderId="0" xfId="0" applyFont="1"/>
    <xf numFmtId="0" fontId="2" fillId="3" borderId="1" xfId="0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 vertical="center" wrapText="1"/>
    </xf>
    <xf numFmtId="49" fontId="9" fillId="3" borderId="8" xfId="2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165" fontId="9" fillId="2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6" xfId="2" applyFont="1" applyFill="1" applyBorder="1" applyAlignment="1">
      <alignment horizontal="left" vertical="center" wrapText="1"/>
    </xf>
    <xf numFmtId="0" fontId="2" fillId="3" borderId="7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left" vertical="center" wrapText="1"/>
    </xf>
    <xf numFmtId="49" fontId="9" fillId="3" borderId="6" xfId="2" applyNumberFormat="1" applyFont="1" applyFill="1" applyBorder="1" applyAlignment="1">
      <alignment horizontal="center" vertical="top" wrapText="1"/>
    </xf>
    <xf numFmtId="49" fontId="9" fillId="3" borderId="7" xfId="2" applyNumberFormat="1" applyFont="1" applyFill="1" applyBorder="1" applyAlignment="1">
      <alignment horizontal="center" vertical="top" wrapText="1"/>
    </xf>
    <xf numFmtId="49" fontId="9" fillId="3" borderId="8" xfId="2" applyNumberFormat="1" applyFont="1" applyFill="1" applyBorder="1" applyAlignment="1">
      <alignment horizontal="center" vertical="top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justify" vertical="top" wrapText="1"/>
    </xf>
    <xf numFmtId="49" fontId="10" fillId="3" borderId="1" xfId="2" applyNumberFormat="1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10" fillId="3" borderId="1" xfId="2" applyNumberFormat="1" applyFont="1" applyFill="1" applyBorder="1" applyAlignment="1">
      <alignment vertical="top" wrapText="1"/>
    </xf>
    <xf numFmtId="0" fontId="14" fillId="3" borderId="0" xfId="2" applyFont="1" applyFill="1" applyAlignment="1">
      <alignment horizontal="right" vertical="top" wrapText="1"/>
    </xf>
    <xf numFmtId="0" fontId="5" fillId="3" borderId="2" xfId="2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justify" vertical="top" wrapText="1"/>
    </xf>
    <xf numFmtId="0" fontId="4" fillId="3" borderId="0" xfId="2" applyFont="1" applyFill="1" applyBorder="1" applyAlignment="1">
      <alignment horizontal="right" vertical="top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153"/>
  <sheetViews>
    <sheetView tabSelected="1" view="pageBreakPreview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" sqref="K1:L1"/>
    </sheetView>
  </sheetViews>
  <sheetFormatPr defaultRowHeight="15" x14ac:dyDescent="0.25"/>
  <cols>
    <col min="1" max="1" width="8.5703125" style="5" hidden="1" customWidth="1"/>
    <col min="2" max="2" width="21.140625" style="45" customWidth="1"/>
    <col min="3" max="3" width="65.42578125" style="5" customWidth="1"/>
    <col min="4" max="4" width="19.140625" style="5" customWidth="1"/>
    <col min="5" max="5" width="22.42578125" style="5" customWidth="1"/>
    <col min="6" max="6" width="17.42578125" style="5" customWidth="1"/>
    <col min="7" max="7" width="18.85546875" style="5" customWidth="1"/>
    <col min="8" max="8" width="18.5703125" style="5" customWidth="1"/>
    <col min="9" max="9" width="18.140625" style="5" customWidth="1"/>
    <col min="10" max="12" width="18.140625" style="46" customWidth="1"/>
    <col min="13" max="16384" width="9.140625" style="5"/>
  </cols>
  <sheetData>
    <row r="1" spans="1:12" ht="46.5" customHeight="1" x14ac:dyDescent="0.25">
      <c r="A1" s="3"/>
      <c r="B1" s="4"/>
      <c r="C1" s="3"/>
      <c r="D1" s="3"/>
      <c r="E1" s="3"/>
      <c r="G1" s="6"/>
      <c r="H1" s="6"/>
      <c r="I1" s="84"/>
      <c r="J1" s="84"/>
      <c r="K1" s="84" t="s">
        <v>118</v>
      </c>
      <c r="L1" s="84"/>
    </row>
    <row r="2" spans="1:12" ht="98.25" customHeight="1" x14ac:dyDescent="0.25">
      <c r="A2" s="3"/>
      <c r="B2" s="4"/>
      <c r="C2" s="3"/>
      <c r="D2" s="3"/>
      <c r="E2" s="3"/>
      <c r="G2" s="7"/>
      <c r="H2" s="7"/>
      <c r="I2" s="90" t="s">
        <v>55</v>
      </c>
      <c r="J2" s="90"/>
      <c r="K2" s="90"/>
      <c r="L2" s="90"/>
    </row>
    <row r="3" spans="1:12" ht="16.5" x14ac:dyDescent="0.25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25">
      <c r="A4" s="79" t="s">
        <v>0</v>
      </c>
      <c r="B4" s="79"/>
      <c r="C4" s="79"/>
      <c r="D4" s="86" t="s">
        <v>58</v>
      </c>
      <c r="E4" s="87"/>
      <c r="F4" s="87"/>
      <c r="G4" s="87"/>
      <c r="H4" s="87"/>
      <c r="I4" s="87"/>
      <c r="J4" s="87"/>
      <c r="K4" s="87"/>
      <c r="L4" s="88"/>
    </row>
    <row r="5" spans="1:12" x14ac:dyDescent="0.25">
      <c r="A5" s="77" t="s">
        <v>1</v>
      </c>
      <c r="B5" s="70" t="s">
        <v>2</v>
      </c>
      <c r="C5" s="79" t="s">
        <v>3</v>
      </c>
      <c r="D5" s="79" t="s">
        <v>4</v>
      </c>
      <c r="E5" s="79" t="s">
        <v>5</v>
      </c>
      <c r="F5" s="79"/>
      <c r="G5" s="79"/>
      <c r="H5" s="79"/>
      <c r="I5" s="79"/>
      <c r="J5" s="79"/>
      <c r="K5" s="79"/>
      <c r="L5" s="79"/>
    </row>
    <row r="6" spans="1:12" x14ac:dyDescent="0.25">
      <c r="A6" s="77"/>
      <c r="B6" s="70"/>
      <c r="C6" s="79"/>
      <c r="D6" s="79"/>
      <c r="E6" s="8" t="s">
        <v>6</v>
      </c>
      <c r="F6" s="8">
        <v>2020</v>
      </c>
      <c r="G6" s="8">
        <v>2021</v>
      </c>
      <c r="H6" s="8">
        <v>2022</v>
      </c>
      <c r="I6" s="8">
        <v>2023</v>
      </c>
      <c r="J6" s="9">
        <v>2024</v>
      </c>
      <c r="K6" s="9">
        <v>2025</v>
      </c>
      <c r="L6" s="9">
        <v>2026</v>
      </c>
    </row>
    <row r="7" spans="1:12" x14ac:dyDescent="0.25">
      <c r="A7" s="8">
        <v>1</v>
      </c>
      <c r="B7" s="10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1">
        <v>10</v>
      </c>
      <c r="K7" s="12">
        <v>11</v>
      </c>
      <c r="L7" s="12">
        <v>12</v>
      </c>
    </row>
    <row r="8" spans="1:12" x14ac:dyDescent="0.25">
      <c r="A8" s="89"/>
      <c r="B8" s="83" t="s">
        <v>7</v>
      </c>
      <c r="C8" s="69" t="s">
        <v>56</v>
      </c>
      <c r="D8" s="13" t="s">
        <v>6</v>
      </c>
      <c r="E8" s="14">
        <f>SUM(F8:L8)</f>
        <v>7442982.9490799997</v>
      </c>
      <c r="F8" s="14">
        <f>F9+F10+F11</f>
        <v>1467343.1035799999</v>
      </c>
      <c r="G8" s="14">
        <f t="shared" ref="G8:H10" si="0">G12+G98+G141</f>
        <v>1131522.9605</v>
      </c>
      <c r="H8" s="14">
        <f t="shared" si="0"/>
        <v>528555.28500000003</v>
      </c>
      <c r="I8" s="14">
        <f>I9+I10+I11</f>
        <v>1909835.3</v>
      </c>
      <c r="J8" s="14">
        <f>J9+J10+J11</f>
        <v>1099156</v>
      </c>
      <c r="K8" s="14">
        <f>K9+K10+K11</f>
        <v>533072.19999999995</v>
      </c>
      <c r="L8" s="14">
        <f>L9+L10+L11</f>
        <v>773498.10000000009</v>
      </c>
    </row>
    <row r="9" spans="1:12" ht="30" x14ac:dyDescent="0.25">
      <c r="A9" s="89"/>
      <c r="B9" s="83"/>
      <c r="C9" s="69"/>
      <c r="D9" s="15" t="s">
        <v>8</v>
      </c>
      <c r="E9" s="16">
        <f>SUM(F9:L9)</f>
        <v>5819859.9707300011</v>
      </c>
      <c r="F9" s="16">
        <f>F13+F99+F142</f>
        <v>711226.21072999993</v>
      </c>
      <c r="G9" s="16">
        <f t="shared" si="0"/>
        <v>350628.62999999995</v>
      </c>
      <c r="H9" s="16">
        <f t="shared" si="0"/>
        <v>442443.53</v>
      </c>
      <c r="I9" s="16">
        <f>I13+I99+I142</f>
        <v>1909835.3</v>
      </c>
      <c r="J9" s="16">
        <f>J13+J99+J142</f>
        <v>1099156</v>
      </c>
      <c r="K9" s="16">
        <f>K13+K99+K142</f>
        <v>533072.19999999995</v>
      </c>
      <c r="L9" s="16">
        <f>L141+L13+L99</f>
        <v>773498.10000000009</v>
      </c>
    </row>
    <row r="10" spans="1:12" ht="25.5" customHeight="1" x14ac:dyDescent="0.25">
      <c r="A10" s="89"/>
      <c r="B10" s="83"/>
      <c r="C10" s="69"/>
      <c r="D10" s="15" t="s">
        <v>9</v>
      </c>
      <c r="E10" s="16">
        <f>SUM(F10:L10)</f>
        <v>758396.77494999999</v>
      </c>
      <c r="F10" s="16">
        <f>F14+F100+F143</f>
        <v>267773.98014999996</v>
      </c>
      <c r="G10" s="16">
        <f t="shared" si="0"/>
        <v>427822.23979999998</v>
      </c>
      <c r="H10" s="16">
        <f t="shared" si="0"/>
        <v>62800.555</v>
      </c>
      <c r="I10" s="16">
        <f t="shared" ref="I10:L11" si="1">I14+I100</f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</row>
    <row r="11" spans="1:12" ht="30" x14ac:dyDescent="0.25">
      <c r="A11" s="89"/>
      <c r="B11" s="83"/>
      <c r="C11" s="69"/>
      <c r="D11" s="15" t="s">
        <v>10</v>
      </c>
      <c r="E11" s="16">
        <f>SUM(F11:L11)</f>
        <v>864726.2034</v>
      </c>
      <c r="F11" s="16">
        <f>F15+F101</f>
        <v>488342.91270000004</v>
      </c>
      <c r="G11" s="16">
        <f>G15+G101</f>
        <v>353072.0907</v>
      </c>
      <c r="H11" s="16">
        <f>H15+H101</f>
        <v>23311.200000000001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</row>
    <row r="12" spans="1:12" x14ac:dyDescent="0.25">
      <c r="A12" s="77"/>
      <c r="B12" s="83" t="s">
        <v>11</v>
      </c>
      <c r="C12" s="69" t="s">
        <v>12</v>
      </c>
      <c r="D12" s="13" t="s">
        <v>6</v>
      </c>
      <c r="E12" s="14">
        <f>SUM(F12:L12)</f>
        <v>5284091.889080001</v>
      </c>
      <c r="F12" s="14">
        <f t="shared" ref="F12:L12" si="2">F13+F14+F15</f>
        <v>1224609.20358</v>
      </c>
      <c r="G12" s="14">
        <f>G13+G14+G15</f>
        <v>846976.46050000004</v>
      </c>
      <c r="H12" s="14">
        <f>H13+H14+H15</f>
        <v>355885.42500000005</v>
      </c>
      <c r="I12" s="14">
        <f t="shared" si="2"/>
        <v>1816607.4</v>
      </c>
      <c r="J12" s="14">
        <f t="shared" si="2"/>
        <v>645169.89999999991</v>
      </c>
      <c r="K12" s="14">
        <f t="shared" si="2"/>
        <v>190588.39999999997</v>
      </c>
      <c r="L12" s="14">
        <f t="shared" si="2"/>
        <v>204255.1</v>
      </c>
    </row>
    <row r="13" spans="1:12" ht="28.5" x14ac:dyDescent="0.25">
      <c r="A13" s="77"/>
      <c r="B13" s="83"/>
      <c r="C13" s="69"/>
      <c r="D13" s="13" t="s">
        <v>8</v>
      </c>
      <c r="E13" s="14">
        <f>F13+G13+H13+I13+J13+K13+L13</f>
        <v>3833879.8107299996</v>
      </c>
      <c r="F13" s="14">
        <f>F16+F18+F19+F28+F29+F30+F31+F33+F38+F40+F41+F42+F43+F44+F46+F47+F50+F58+F61+F64+F65+F68+F69+F70+F71+F75+F76+F78+F81+F82+F83+F84+F85+F86+F88+F87+F89+F90+F91+F92+F45+F93+F95+F94+F96</f>
        <v>560297.01072999998</v>
      </c>
      <c r="G13" s="14">
        <f>G16+G18+G19+G28+G29+G30+G31+G33+G38+G40+G41+G42+G43+G44+G46+G47+G50+G58+G61+G62+G63+G64+G65+G68+G69+G70+G71+G75+G78+G81+G82+G83+G54+G45+G97</f>
        <v>147135.22999999998</v>
      </c>
      <c r="H13" s="14">
        <f>H16+H18+H19+H28+H29+H30+H31+H33+H38+H40+H41+H42+H43+H44+H46+H47+H50+H58+H61+H64+H65+H68+H69+H70+H71+H75+H76++H78+H81+H83+H66</f>
        <v>269826.77</v>
      </c>
      <c r="I13" s="14">
        <f>I16+I18+I19+I28+I29+I30+I31+I33+I38+I40+I41+I42+I43+I44+I46+I47+I50+I58+I61+I64+I65+I68+I69+I70+I71+I75+I76++I78+I81+I83+I17+I20+I21+I22+I23+I24+I25+I26+I27+I35+I36+I67+I82</f>
        <v>1816607.4</v>
      </c>
      <c r="J13" s="14">
        <f>J16+J18+J19+J28+J29+J30+J31+J33+J38+J40+J41+J42+J43+J44+J46+J47+J50+J58+J61+J64+J65+J68+J69+J70+J71+J75+J76++J78+J81+J83+J17+J20+J21+J22+J23+J24+J25+J26+J27+J35+J36+J67+J82</f>
        <v>645169.89999999991</v>
      </c>
      <c r="K13" s="14">
        <f>K16+K18+K19+K28+K29+K30+K31+K33+K38+K40+K41+K42+K43+K44+K46+K47+K50+K58+K61+K64+K65+K68+K69+K70+K71+K75+K76++K78+K81+K83+K17+K20+K21+K22+K23+K24+K25+K26+K27+K35+K36+K67+K82</f>
        <v>190588.39999999997</v>
      </c>
      <c r="L13" s="14">
        <f>L16+L18+L19+L28+L29+L30+L31+L33+L38+L40+L41+L42+L43+L44+L46+L47+L50+L58+L61+L64+L65+L68+L69+L70+L71+L75+L76++L78+L81+L83+L17+L20+L21+L22+L23+L24+L25+L26+L27+L35+L36+L67+L82+L48</f>
        <v>204255.1</v>
      </c>
    </row>
    <row r="14" spans="1:12" ht="42.75" x14ac:dyDescent="0.25">
      <c r="A14" s="77"/>
      <c r="B14" s="83"/>
      <c r="C14" s="69"/>
      <c r="D14" s="13" t="s">
        <v>9</v>
      </c>
      <c r="E14" s="14">
        <f>F14+G14+H14+I14+J14+K14+L14</f>
        <v>585485.87494999997</v>
      </c>
      <c r="F14" s="14">
        <f>F34+F39+F51+F59+F62+F73</f>
        <v>175969.28014999998</v>
      </c>
      <c r="G14" s="14">
        <f>G34+G39+G51+G59+G62+G73+G79+G55</f>
        <v>346769.1398</v>
      </c>
      <c r="H14" s="14">
        <f>H34+H39+H51+H59+H73</f>
        <v>62747.455000000002</v>
      </c>
      <c r="I14" s="14">
        <f>I34+I39+I51+I59++I62+I73</f>
        <v>0</v>
      </c>
      <c r="J14" s="14">
        <f>J34+J39+J51+J59++J62+J73</f>
        <v>0</v>
      </c>
      <c r="K14" s="14">
        <f>K34+K39+K51+K59++K62+K73</f>
        <v>0</v>
      </c>
      <c r="L14" s="14">
        <f>L34+L39+L51+L59++L62+L73</f>
        <v>0</v>
      </c>
    </row>
    <row r="15" spans="1:12" ht="28.5" x14ac:dyDescent="0.25">
      <c r="A15" s="77"/>
      <c r="B15" s="83"/>
      <c r="C15" s="69"/>
      <c r="D15" s="13" t="s">
        <v>10</v>
      </c>
      <c r="E15" s="14">
        <f>F15+G15+H15+I15+J15+K15+L15</f>
        <v>864726.2034</v>
      </c>
      <c r="F15" s="14">
        <f>F52+F63+F80</f>
        <v>488342.91270000004</v>
      </c>
      <c r="G15" s="14">
        <f>G52+G63+G80+G56+G74</f>
        <v>353072.0907</v>
      </c>
      <c r="H15" s="14">
        <f>H74</f>
        <v>23311.200000000001</v>
      </c>
      <c r="I15" s="14">
        <f>I52+I63</f>
        <v>0</v>
      </c>
      <c r="J15" s="14">
        <f>J52+J63</f>
        <v>0</v>
      </c>
      <c r="K15" s="14">
        <f>K52+K63</f>
        <v>0</v>
      </c>
      <c r="L15" s="14">
        <f>L52+L63</f>
        <v>0</v>
      </c>
    </row>
    <row r="16" spans="1:12" ht="45" x14ac:dyDescent="0.25">
      <c r="A16" s="17"/>
      <c r="B16" s="18"/>
      <c r="C16" s="19" t="s">
        <v>40</v>
      </c>
      <c r="D16" s="15" t="s">
        <v>13</v>
      </c>
      <c r="E16" s="16">
        <f t="shared" ref="E16:E48" si="3">F16+G16+H16+I16+J16+K16+L16</f>
        <v>43089.7</v>
      </c>
      <c r="F16" s="16">
        <v>21755</v>
      </c>
      <c r="G16" s="16">
        <v>21334.7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30" x14ac:dyDescent="0.25">
      <c r="A17" s="17"/>
      <c r="B17" s="18"/>
      <c r="C17" s="19" t="s">
        <v>66</v>
      </c>
      <c r="D17" s="15" t="s">
        <v>13</v>
      </c>
      <c r="E17" s="16">
        <f t="shared" si="3"/>
        <v>763964.1</v>
      </c>
      <c r="F17" s="16">
        <v>0</v>
      </c>
      <c r="G17" s="16">
        <v>0</v>
      </c>
      <c r="H17" s="16">
        <v>0</v>
      </c>
      <c r="I17" s="16">
        <v>763964.1</v>
      </c>
      <c r="J17" s="16">
        <v>0</v>
      </c>
      <c r="K17" s="16">
        <v>0</v>
      </c>
      <c r="L17" s="16">
        <v>0</v>
      </c>
    </row>
    <row r="18" spans="1:12" ht="30" x14ac:dyDescent="0.25">
      <c r="A18" s="8"/>
      <c r="B18" s="10"/>
      <c r="C18" s="20" t="s">
        <v>37</v>
      </c>
      <c r="D18" s="15" t="s">
        <v>13</v>
      </c>
      <c r="E18" s="16">
        <f>F18+G18+H18+I18+J18+K18+L18</f>
        <v>176543.90000000002</v>
      </c>
      <c r="F18" s="21">
        <v>0</v>
      </c>
      <c r="G18" s="54">
        <f>10950-10675.8</f>
        <v>274.20000000000073</v>
      </c>
      <c r="H18" s="21">
        <v>0</v>
      </c>
      <c r="I18" s="21">
        <v>176269.7</v>
      </c>
      <c r="J18" s="21">
        <v>0</v>
      </c>
      <c r="K18" s="21">
        <v>0</v>
      </c>
      <c r="L18" s="21">
        <v>0</v>
      </c>
    </row>
    <row r="19" spans="1:12" ht="30" x14ac:dyDescent="0.25">
      <c r="A19" s="17"/>
      <c r="B19" s="18"/>
      <c r="C19" s="19" t="s">
        <v>39</v>
      </c>
      <c r="D19" s="15" t="s">
        <v>13</v>
      </c>
      <c r="E19" s="16">
        <f t="shared" si="3"/>
        <v>7600</v>
      </c>
      <c r="F19" s="16">
        <v>0</v>
      </c>
      <c r="G19" s="16">
        <v>7600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30" x14ac:dyDescent="0.25">
      <c r="A20" s="17"/>
      <c r="B20" s="18"/>
      <c r="C20" s="19" t="s">
        <v>67</v>
      </c>
      <c r="D20" s="15" t="s">
        <v>13</v>
      </c>
      <c r="E20" s="16">
        <f t="shared" si="3"/>
        <v>3500.1</v>
      </c>
      <c r="F20" s="16">
        <v>0</v>
      </c>
      <c r="G20" s="16">
        <v>0</v>
      </c>
      <c r="H20" s="16">
        <v>0</v>
      </c>
      <c r="I20" s="16">
        <v>3500.1</v>
      </c>
      <c r="J20" s="16">
        <v>0</v>
      </c>
      <c r="K20" s="16">
        <v>0</v>
      </c>
      <c r="L20" s="16">
        <v>0</v>
      </c>
    </row>
    <row r="21" spans="1:12" ht="30" x14ac:dyDescent="0.25">
      <c r="A21" s="17"/>
      <c r="B21" s="18"/>
      <c r="C21" s="19" t="s">
        <v>68</v>
      </c>
      <c r="D21" s="15" t="s">
        <v>13</v>
      </c>
      <c r="E21" s="16">
        <f t="shared" si="3"/>
        <v>5056.2</v>
      </c>
      <c r="F21" s="16">
        <v>0</v>
      </c>
      <c r="G21" s="16">
        <v>0</v>
      </c>
      <c r="H21" s="16">
        <v>0</v>
      </c>
      <c r="I21" s="16">
        <v>5056.2</v>
      </c>
      <c r="J21" s="16">
        <v>0</v>
      </c>
      <c r="K21" s="16">
        <v>0</v>
      </c>
      <c r="L21" s="16">
        <v>0</v>
      </c>
    </row>
    <row r="22" spans="1:12" ht="30" x14ac:dyDescent="0.25">
      <c r="A22" s="17"/>
      <c r="B22" s="18"/>
      <c r="C22" s="19" t="s">
        <v>69</v>
      </c>
      <c r="D22" s="15" t="s">
        <v>13</v>
      </c>
      <c r="E22" s="16">
        <f t="shared" si="3"/>
        <v>4206.6000000000004</v>
      </c>
      <c r="F22" s="16">
        <v>0</v>
      </c>
      <c r="G22" s="16">
        <v>0</v>
      </c>
      <c r="H22" s="16">
        <v>0</v>
      </c>
      <c r="I22" s="16">
        <v>0</v>
      </c>
      <c r="J22" s="16">
        <v>4206.6000000000004</v>
      </c>
      <c r="K22" s="16">
        <v>0</v>
      </c>
      <c r="L22" s="16">
        <v>0</v>
      </c>
    </row>
    <row r="23" spans="1:12" ht="30" x14ac:dyDescent="0.25">
      <c r="A23" s="17"/>
      <c r="B23" s="18"/>
      <c r="C23" s="19" t="s">
        <v>70</v>
      </c>
      <c r="D23" s="15" t="s">
        <v>13</v>
      </c>
      <c r="E23" s="16">
        <f t="shared" si="3"/>
        <v>5207.5</v>
      </c>
      <c r="F23" s="16">
        <v>0</v>
      </c>
      <c r="G23" s="16">
        <v>0</v>
      </c>
      <c r="H23" s="16">
        <v>0</v>
      </c>
      <c r="I23" s="16">
        <v>0</v>
      </c>
      <c r="J23" s="16">
        <v>5207.5</v>
      </c>
      <c r="K23" s="16">
        <v>0</v>
      </c>
      <c r="L23" s="16">
        <v>0</v>
      </c>
    </row>
    <row r="24" spans="1:12" ht="30" x14ac:dyDescent="0.25">
      <c r="A24" s="17"/>
      <c r="B24" s="18"/>
      <c r="C24" s="19" t="s">
        <v>71</v>
      </c>
      <c r="D24" s="15" t="s">
        <v>13</v>
      </c>
      <c r="E24" s="16">
        <f t="shared" si="3"/>
        <v>4424.8999999999996</v>
      </c>
      <c r="F24" s="16">
        <v>0</v>
      </c>
      <c r="G24" s="16">
        <v>0</v>
      </c>
      <c r="H24" s="16">
        <v>0</v>
      </c>
      <c r="I24" s="16">
        <v>0</v>
      </c>
      <c r="J24" s="16">
        <v>4424.8999999999996</v>
      </c>
      <c r="K24" s="16">
        <v>0</v>
      </c>
      <c r="L24" s="16">
        <v>0</v>
      </c>
    </row>
    <row r="25" spans="1:12" ht="30" x14ac:dyDescent="0.25">
      <c r="A25" s="17"/>
      <c r="B25" s="18"/>
      <c r="C25" s="19" t="s">
        <v>72</v>
      </c>
      <c r="D25" s="15" t="s">
        <v>13</v>
      </c>
      <c r="E25" s="16">
        <f t="shared" si="3"/>
        <v>5223.8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5223.8</v>
      </c>
      <c r="L25" s="16">
        <v>0</v>
      </c>
    </row>
    <row r="26" spans="1:12" ht="30" x14ac:dyDescent="0.25">
      <c r="A26" s="17"/>
      <c r="B26" s="18"/>
      <c r="C26" s="19" t="s">
        <v>73</v>
      </c>
      <c r="D26" s="15" t="s">
        <v>13</v>
      </c>
      <c r="E26" s="16">
        <f t="shared" si="3"/>
        <v>7645.8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7645.8</v>
      </c>
      <c r="L26" s="16">
        <v>0</v>
      </c>
    </row>
    <row r="27" spans="1:12" ht="30" x14ac:dyDescent="0.25">
      <c r="A27" s="17"/>
      <c r="B27" s="18"/>
      <c r="C27" s="19" t="s">
        <v>74</v>
      </c>
      <c r="D27" s="15" t="s">
        <v>13</v>
      </c>
      <c r="E27" s="16">
        <f t="shared" si="3"/>
        <v>28461.3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28461.3</v>
      </c>
    </row>
    <row r="28" spans="1:12" ht="30" x14ac:dyDescent="0.25">
      <c r="A28" s="17"/>
      <c r="B28" s="18"/>
      <c r="C28" s="19" t="s">
        <v>49</v>
      </c>
      <c r="D28" s="15" t="s">
        <v>13</v>
      </c>
      <c r="E28" s="16">
        <f t="shared" si="3"/>
        <v>11023</v>
      </c>
      <c r="F28" s="16">
        <v>0</v>
      </c>
      <c r="G28" s="16">
        <v>0</v>
      </c>
      <c r="H28" s="16">
        <v>11023</v>
      </c>
      <c r="I28" s="16">
        <v>0</v>
      </c>
      <c r="J28" s="16">
        <v>0</v>
      </c>
      <c r="K28" s="16">
        <v>0</v>
      </c>
      <c r="L28" s="16">
        <v>0</v>
      </c>
    </row>
    <row r="29" spans="1:12" ht="30" x14ac:dyDescent="0.25">
      <c r="A29" s="17"/>
      <c r="B29" s="18"/>
      <c r="C29" s="19" t="s">
        <v>44</v>
      </c>
      <c r="D29" s="15" t="s">
        <v>13</v>
      </c>
      <c r="E29" s="16">
        <f>F29+G29+H29+I29+J29+K29+L29</f>
        <v>27524.3</v>
      </c>
      <c r="F29" s="16">
        <f>27524.3</f>
        <v>27524.3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30" x14ac:dyDescent="0.25">
      <c r="A30" s="18"/>
      <c r="B30" s="22"/>
      <c r="C30" s="19" t="s">
        <v>15</v>
      </c>
      <c r="D30" s="15" t="s">
        <v>13</v>
      </c>
      <c r="E30" s="16">
        <f t="shared" si="3"/>
        <v>16008</v>
      </c>
      <c r="F30" s="16">
        <v>0</v>
      </c>
      <c r="G30" s="16">
        <v>16008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ht="30" x14ac:dyDescent="0.25">
      <c r="A31" s="18"/>
      <c r="B31" s="22"/>
      <c r="C31" s="19" t="s">
        <v>50</v>
      </c>
      <c r="D31" s="15" t="s">
        <v>13</v>
      </c>
      <c r="E31" s="16">
        <f t="shared" si="3"/>
        <v>15372.4</v>
      </c>
      <c r="F31" s="16">
        <v>0</v>
      </c>
      <c r="G31" s="16">
        <v>0</v>
      </c>
      <c r="H31" s="16">
        <v>15372.4</v>
      </c>
      <c r="I31" s="16">
        <v>0</v>
      </c>
      <c r="J31" s="16">
        <v>0</v>
      </c>
      <c r="K31" s="16">
        <v>0</v>
      </c>
      <c r="L31" s="16">
        <v>0</v>
      </c>
    </row>
    <row r="32" spans="1:12" x14ac:dyDescent="0.25">
      <c r="A32" s="18"/>
      <c r="B32" s="80"/>
      <c r="C32" s="59" t="s">
        <v>51</v>
      </c>
      <c r="D32" s="13" t="s">
        <v>6</v>
      </c>
      <c r="E32" s="14">
        <f>F32+G32+H32+I32+J32+K32+L32</f>
        <v>80841.600000000006</v>
      </c>
      <c r="F32" s="14">
        <f>F33+F34</f>
        <v>66341.600000000006</v>
      </c>
      <c r="G32" s="14">
        <f t="shared" ref="G32:L32" si="4">G33+G34</f>
        <v>0</v>
      </c>
      <c r="H32" s="14">
        <f t="shared" si="4"/>
        <v>14500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</row>
    <row r="33" spans="1:12" ht="30" x14ac:dyDescent="0.25">
      <c r="A33" s="18"/>
      <c r="B33" s="81"/>
      <c r="C33" s="60"/>
      <c r="D33" s="15" t="s">
        <v>13</v>
      </c>
      <c r="E33" s="16">
        <f>F33+G33+H33+I33+J33+K33+L33</f>
        <v>24443.200000000001</v>
      </c>
      <c r="F33" s="23">
        <f>22822.3+1620.9</f>
        <v>24443.200000000001</v>
      </c>
      <c r="G33" s="2">
        <f>1620.9-1620.9</f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</row>
    <row r="34" spans="1:12" ht="45" x14ac:dyDescent="0.25">
      <c r="A34" s="18"/>
      <c r="B34" s="82"/>
      <c r="C34" s="61"/>
      <c r="D34" s="15" t="s">
        <v>9</v>
      </c>
      <c r="E34" s="16">
        <f>F34+G34+H34+I34+J34+K34+L34</f>
        <v>56398.400000000001</v>
      </c>
      <c r="F34" s="56">
        <f>54500-12601.6</f>
        <v>41898.400000000001</v>
      </c>
      <c r="G34" s="16">
        <v>0</v>
      </c>
      <c r="H34" s="16">
        <v>14500</v>
      </c>
      <c r="I34" s="16">
        <v>0</v>
      </c>
      <c r="J34" s="16">
        <v>0</v>
      </c>
      <c r="K34" s="16">
        <v>0</v>
      </c>
      <c r="L34" s="16">
        <v>0</v>
      </c>
    </row>
    <row r="35" spans="1:12" ht="30" x14ac:dyDescent="0.25">
      <c r="A35" s="18"/>
      <c r="B35" s="49"/>
      <c r="C35" s="19" t="s">
        <v>75</v>
      </c>
      <c r="D35" s="15" t="s">
        <v>13</v>
      </c>
      <c r="E35" s="16">
        <f t="shared" ref="E35" si="5">F35+G35+H35+I35+J35+K35+L35</f>
        <v>297817.3</v>
      </c>
      <c r="F35" s="16">
        <v>0</v>
      </c>
      <c r="G35" s="16">
        <v>0</v>
      </c>
      <c r="H35" s="16">
        <v>0</v>
      </c>
      <c r="I35" s="16">
        <v>297817.3</v>
      </c>
      <c r="J35" s="16">
        <v>0</v>
      </c>
      <c r="K35" s="16">
        <v>0</v>
      </c>
      <c r="L35" s="16">
        <v>0</v>
      </c>
    </row>
    <row r="36" spans="1:12" ht="30" x14ac:dyDescent="0.25">
      <c r="A36" s="18"/>
      <c r="B36" s="24"/>
      <c r="C36" s="19" t="s">
        <v>76</v>
      </c>
      <c r="D36" s="15" t="s">
        <v>13</v>
      </c>
      <c r="E36" s="16">
        <f>F36+G36+H36+I36+J36+K36+L36</f>
        <v>245877.8</v>
      </c>
      <c r="F36" s="16">
        <v>0</v>
      </c>
      <c r="G36" s="16">
        <v>0</v>
      </c>
      <c r="H36" s="16">
        <v>0</v>
      </c>
      <c r="I36" s="16">
        <v>120000</v>
      </c>
      <c r="J36" s="16">
        <v>125877.8</v>
      </c>
      <c r="K36" s="16">
        <v>0</v>
      </c>
      <c r="L36" s="16">
        <v>0</v>
      </c>
    </row>
    <row r="37" spans="1:12" ht="19.5" customHeight="1" x14ac:dyDescent="0.25">
      <c r="A37" s="18"/>
      <c r="B37" s="80"/>
      <c r="C37" s="59" t="s">
        <v>31</v>
      </c>
      <c r="D37" s="55" t="s">
        <v>6</v>
      </c>
      <c r="E37" s="14">
        <f>E38+E39</f>
        <v>5079.8999999999996</v>
      </c>
      <c r="F37" s="14">
        <f>F38+F39</f>
        <v>5079.8999999999996</v>
      </c>
      <c r="G37" s="14">
        <f t="shared" ref="G37:L37" si="6">G38+G39</f>
        <v>0</v>
      </c>
      <c r="H37" s="14">
        <f t="shared" si="6"/>
        <v>0</v>
      </c>
      <c r="I37" s="14">
        <f t="shared" si="6"/>
        <v>0</v>
      </c>
      <c r="J37" s="14">
        <f t="shared" si="6"/>
        <v>0</v>
      </c>
      <c r="K37" s="14">
        <f t="shared" si="6"/>
        <v>0</v>
      </c>
      <c r="L37" s="14">
        <f t="shared" si="6"/>
        <v>0</v>
      </c>
    </row>
    <row r="38" spans="1:12" ht="30" x14ac:dyDescent="0.25">
      <c r="A38" s="18"/>
      <c r="B38" s="81"/>
      <c r="C38" s="60"/>
      <c r="D38" s="15" t="s">
        <v>13</v>
      </c>
      <c r="E38" s="16">
        <f>F38+G38+H38+I38+J38+K38+L38</f>
        <v>1729.9</v>
      </c>
      <c r="F38" s="16">
        <v>1729.9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ht="36" customHeight="1" x14ac:dyDescent="0.25">
      <c r="A39" s="18"/>
      <c r="B39" s="82"/>
      <c r="C39" s="61"/>
      <c r="D39" s="15" t="s">
        <v>9</v>
      </c>
      <c r="E39" s="16">
        <f>F39+G39+H39+I39+J39+K39+L39</f>
        <v>3350</v>
      </c>
      <c r="F39" s="16">
        <v>3350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ht="30" x14ac:dyDescent="0.25">
      <c r="A40" s="17"/>
      <c r="B40" s="18"/>
      <c r="C40" s="19" t="s">
        <v>61</v>
      </c>
      <c r="D40" s="15" t="s">
        <v>13</v>
      </c>
      <c r="E40" s="16">
        <f t="shared" si="3"/>
        <v>96976.210730000006</v>
      </c>
      <c r="F40" s="16">
        <f>56895.3+4025.51073</f>
        <v>60920.810730000005</v>
      </c>
      <c r="G40" s="2">
        <f>80000-69379.2-10620.8</f>
        <v>0</v>
      </c>
      <c r="H40" s="16">
        <v>36055.4</v>
      </c>
      <c r="I40" s="16">
        <v>0</v>
      </c>
      <c r="J40" s="16">
        <v>0</v>
      </c>
      <c r="K40" s="16">
        <v>0</v>
      </c>
      <c r="L40" s="16">
        <v>0</v>
      </c>
    </row>
    <row r="41" spans="1:12" ht="30" x14ac:dyDescent="0.25">
      <c r="A41" s="8"/>
      <c r="B41" s="10"/>
      <c r="C41" s="20" t="s">
        <v>38</v>
      </c>
      <c r="D41" s="15" t="s">
        <v>13</v>
      </c>
      <c r="E41" s="16">
        <f t="shared" si="3"/>
        <v>40000</v>
      </c>
      <c r="F41" s="16">
        <f>40000</f>
        <v>40000</v>
      </c>
      <c r="G41" s="16">
        <f>40000-40000</f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 ht="30" x14ac:dyDescent="0.25">
      <c r="A42" s="8"/>
      <c r="B42" s="10"/>
      <c r="C42" s="20" t="s">
        <v>41</v>
      </c>
      <c r="D42" s="15" t="s">
        <v>13</v>
      </c>
      <c r="E42" s="16">
        <f t="shared" si="3"/>
        <v>3871</v>
      </c>
      <c r="F42" s="16">
        <v>0</v>
      </c>
      <c r="G42" s="16">
        <v>3871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1:12" ht="30" x14ac:dyDescent="0.25">
      <c r="A43" s="8"/>
      <c r="B43" s="10"/>
      <c r="C43" s="20" t="s">
        <v>42</v>
      </c>
      <c r="D43" s="15" t="s">
        <v>13</v>
      </c>
      <c r="E43" s="16">
        <f t="shared" si="3"/>
        <v>1296.8</v>
      </c>
      <c r="F43" s="16">
        <v>20</v>
      </c>
      <c r="G43" s="2">
        <f>1296.8-20</f>
        <v>1276.8</v>
      </c>
      <c r="H43" s="16">
        <v>0</v>
      </c>
      <c r="I43" s="16">
        <f>110479.6-110479.6</f>
        <v>0</v>
      </c>
      <c r="J43" s="16">
        <f>52039.5-52039.5</f>
        <v>0</v>
      </c>
      <c r="K43" s="16">
        <v>0</v>
      </c>
      <c r="L43" s="16">
        <v>0</v>
      </c>
    </row>
    <row r="44" spans="1:12" ht="27.75" customHeight="1" x14ac:dyDescent="0.25">
      <c r="A44" s="8"/>
      <c r="B44" s="18"/>
      <c r="C44" s="19" t="s">
        <v>43</v>
      </c>
      <c r="D44" s="15" t="s">
        <v>13</v>
      </c>
      <c r="E44" s="16">
        <f>F44+G44+H44+I44+J44+K44+L44</f>
        <v>81945.899999999994</v>
      </c>
      <c r="F44" s="16">
        <f>32703-19621.8</f>
        <v>13081.2</v>
      </c>
      <c r="G44" s="16">
        <v>19621.8</v>
      </c>
      <c r="H44" s="16">
        <v>49242.9</v>
      </c>
      <c r="I44" s="16">
        <v>0</v>
      </c>
      <c r="J44" s="16">
        <v>0</v>
      </c>
      <c r="K44" s="16">
        <v>0</v>
      </c>
      <c r="L44" s="16">
        <v>0</v>
      </c>
    </row>
    <row r="45" spans="1:12" ht="27.75" customHeight="1" x14ac:dyDescent="0.25">
      <c r="A45" s="8"/>
      <c r="B45" s="18"/>
      <c r="C45" s="19" t="s">
        <v>84</v>
      </c>
      <c r="D45" s="15" t="s">
        <v>13</v>
      </c>
      <c r="E45" s="16">
        <f>F45+G45+H45+I45+J45+K45+L45</f>
        <v>57945</v>
      </c>
      <c r="F45" s="16">
        <f>57945-32805.2</f>
        <v>25139.800000000003</v>
      </c>
      <c r="G45" s="16">
        <v>32805.199999999997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1:12" ht="27.75" customHeight="1" x14ac:dyDescent="0.25">
      <c r="A46" s="8"/>
      <c r="B46" s="18"/>
      <c r="C46" s="19" t="s">
        <v>63</v>
      </c>
      <c r="D46" s="15" t="s">
        <v>13</v>
      </c>
      <c r="E46" s="16">
        <f>F46+G46+H46+I46+J46+K46+L46</f>
        <v>44475.6</v>
      </c>
      <c r="F46" s="16">
        <f>22228-13336.8</f>
        <v>8891.2000000000007</v>
      </c>
      <c r="G46" s="16">
        <v>13336.8</v>
      </c>
      <c r="H46" s="16">
        <v>22247.599999999999</v>
      </c>
      <c r="I46" s="16">
        <v>0</v>
      </c>
      <c r="J46" s="16">
        <v>0</v>
      </c>
      <c r="K46" s="16">
        <v>0</v>
      </c>
      <c r="L46" s="16">
        <v>0</v>
      </c>
    </row>
    <row r="47" spans="1:12" ht="30" x14ac:dyDescent="0.25">
      <c r="A47" s="17"/>
      <c r="B47" s="18"/>
      <c r="C47" s="19" t="s">
        <v>47</v>
      </c>
      <c r="D47" s="15" t="s">
        <v>13</v>
      </c>
      <c r="E47" s="16">
        <f t="shared" si="3"/>
        <v>1000</v>
      </c>
      <c r="F47" s="16">
        <v>0</v>
      </c>
      <c r="G47" s="16">
        <v>1000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30" x14ac:dyDescent="0.25">
      <c r="A48" s="17"/>
      <c r="B48" s="18"/>
      <c r="C48" s="19" t="s">
        <v>77</v>
      </c>
      <c r="D48" s="15" t="s">
        <v>13</v>
      </c>
      <c r="E48" s="16">
        <f t="shared" si="3"/>
        <v>4820.1000000000004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4820.1000000000004</v>
      </c>
    </row>
    <row r="49" spans="1:12" ht="13.5" customHeight="1" x14ac:dyDescent="0.25">
      <c r="A49" s="79"/>
      <c r="B49" s="70"/>
      <c r="C49" s="58" t="s">
        <v>45</v>
      </c>
      <c r="D49" s="57" t="s">
        <v>6</v>
      </c>
      <c r="E49" s="14">
        <f>F49+G49+H49+I49+J49+K49+L49</f>
        <v>143288.46276000002</v>
      </c>
      <c r="F49" s="14">
        <f>F51+F50+F52</f>
        <v>143288.46276000002</v>
      </c>
      <c r="G49" s="14">
        <f t="shared" ref="G49:L49" si="7">G51+G50+G52</f>
        <v>0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7"/>
        <v>0</v>
      </c>
      <c r="L49" s="14">
        <f t="shared" si="7"/>
        <v>0</v>
      </c>
    </row>
    <row r="50" spans="1:12" ht="29.25" customHeight="1" x14ac:dyDescent="0.25">
      <c r="A50" s="79"/>
      <c r="B50" s="70"/>
      <c r="C50" s="58"/>
      <c r="D50" s="15" t="s">
        <v>13</v>
      </c>
      <c r="E50" s="16">
        <f>F50+G50+H50+I50+J50+K50+L50</f>
        <v>56574.200000000004</v>
      </c>
      <c r="F50" s="2">
        <f>3250.5+20710.3+33058-444.6</f>
        <v>56574.200000000004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29.25" customHeight="1" x14ac:dyDescent="0.25">
      <c r="A51" s="79"/>
      <c r="B51" s="70"/>
      <c r="C51" s="58"/>
      <c r="D51" s="15" t="s">
        <v>9</v>
      </c>
      <c r="E51" s="16">
        <f>F51+G51+H51+I51+J51+K51+L51</f>
        <v>435.75006000000002</v>
      </c>
      <c r="F51" s="16">
        <v>435.75006000000002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 ht="29.25" customHeight="1" x14ac:dyDescent="0.25">
      <c r="A52" s="79"/>
      <c r="B52" s="70"/>
      <c r="C52" s="58"/>
      <c r="D52" s="15" t="s">
        <v>10</v>
      </c>
      <c r="E52" s="16">
        <f>F52+G52+H52+I52+J52+K52+L52</f>
        <v>86278.512700000007</v>
      </c>
      <c r="F52" s="16">
        <v>86278.512700000007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1:12" ht="29.25" customHeight="1" x14ac:dyDescent="0.25">
      <c r="A53" s="8" t="s">
        <v>100</v>
      </c>
      <c r="B53" s="62"/>
      <c r="C53" s="59" t="s">
        <v>99</v>
      </c>
      <c r="D53" s="57" t="s">
        <v>6</v>
      </c>
      <c r="E53" s="14">
        <f>F53+G53+H53+I53+J53+K53+L53</f>
        <v>86937.175499999998</v>
      </c>
      <c r="F53" s="14">
        <f>F54+F55+F56</f>
        <v>0</v>
      </c>
      <c r="G53" s="14">
        <f>G54+G55+G56</f>
        <v>86937.175499999998</v>
      </c>
      <c r="H53" s="14">
        <f t="shared" ref="H53:L53" si="8">H54+H55+H56</f>
        <v>0</v>
      </c>
      <c r="I53" s="14">
        <f t="shared" si="8"/>
        <v>0</v>
      </c>
      <c r="J53" s="14">
        <f t="shared" si="8"/>
        <v>0</v>
      </c>
      <c r="K53" s="14">
        <f t="shared" si="8"/>
        <v>0</v>
      </c>
      <c r="L53" s="14">
        <f t="shared" si="8"/>
        <v>0</v>
      </c>
    </row>
    <row r="54" spans="1:12" ht="29.25" customHeight="1" x14ac:dyDescent="0.25">
      <c r="A54" s="8"/>
      <c r="B54" s="63"/>
      <c r="C54" s="60"/>
      <c r="D54" s="15" t="s">
        <v>13</v>
      </c>
      <c r="E54" s="16">
        <f t="shared" ref="E54:E56" si="9">F54+G54+H54+I54+J54+K54+L54</f>
        <v>434.9</v>
      </c>
      <c r="F54" s="16">
        <v>0</v>
      </c>
      <c r="G54" s="16">
        <v>434.9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1:12" ht="29.25" customHeight="1" x14ac:dyDescent="0.25">
      <c r="A55" s="8"/>
      <c r="B55" s="63"/>
      <c r="C55" s="60"/>
      <c r="D55" s="15" t="s">
        <v>9</v>
      </c>
      <c r="E55" s="16">
        <f t="shared" si="9"/>
        <v>434.6848</v>
      </c>
      <c r="F55" s="16">
        <v>0</v>
      </c>
      <c r="G55" s="16">
        <v>434.6848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1:12" ht="29.25" customHeight="1" x14ac:dyDescent="0.25">
      <c r="A56" s="8"/>
      <c r="B56" s="64"/>
      <c r="C56" s="61"/>
      <c r="D56" s="15" t="s">
        <v>10</v>
      </c>
      <c r="E56" s="16">
        <f t="shared" si="9"/>
        <v>86067.590700000001</v>
      </c>
      <c r="F56" s="16">
        <v>0</v>
      </c>
      <c r="G56" s="16">
        <v>86067.590700000001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</row>
    <row r="57" spans="1:12" ht="33" customHeight="1" x14ac:dyDescent="0.25">
      <c r="A57" s="8"/>
      <c r="B57" s="62"/>
      <c r="C57" s="59" t="s">
        <v>109</v>
      </c>
      <c r="D57" s="57" t="s">
        <v>6</v>
      </c>
      <c r="E57" s="14">
        <f>E58+E59</f>
        <v>326965.39999999997</v>
      </c>
      <c r="F57" s="14">
        <f t="shared" ref="F57:L57" si="10">F58+F59</f>
        <v>18154.299999999988</v>
      </c>
      <c r="G57" s="14">
        <f t="shared" si="10"/>
        <v>295469.8</v>
      </c>
      <c r="H57" s="14">
        <f t="shared" si="10"/>
        <v>13341.3</v>
      </c>
      <c r="I57" s="14">
        <f t="shared" si="10"/>
        <v>0</v>
      </c>
      <c r="J57" s="14">
        <f t="shared" si="10"/>
        <v>0</v>
      </c>
      <c r="K57" s="14">
        <f t="shared" si="10"/>
        <v>0</v>
      </c>
      <c r="L57" s="14">
        <f t="shared" si="10"/>
        <v>0</v>
      </c>
    </row>
    <row r="58" spans="1:12" ht="33" customHeight="1" x14ac:dyDescent="0.25">
      <c r="A58" s="8"/>
      <c r="B58" s="63"/>
      <c r="C58" s="60"/>
      <c r="D58" s="15" t="s">
        <v>13</v>
      </c>
      <c r="E58" s="16">
        <f t="shared" ref="E58:E63" si="11">F58+G58+H58+I58+J58+K58+L58</f>
        <v>19160.599999999999</v>
      </c>
      <c r="F58" s="2">
        <f>6888.5-1069.2</f>
        <v>5819.3</v>
      </c>
      <c r="G58" s="16">
        <v>0</v>
      </c>
      <c r="H58" s="16">
        <v>13341.3</v>
      </c>
      <c r="I58" s="16">
        <v>0</v>
      </c>
      <c r="J58" s="16">
        <v>0</v>
      </c>
      <c r="K58" s="16">
        <v>0</v>
      </c>
      <c r="L58" s="16">
        <v>0</v>
      </c>
    </row>
    <row r="59" spans="1:12" ht="30.75" customHeight="1" x14ac:dyDescent="0.25">
      <c r="A59" s="8"/>
      <c r="B59" s="64"/>
      <c r="C59" s="61"/>
      <c r="D59" s="15" t="s">
        <v>9</v>
      </c>
      <c r="E59" s="16">
        <f t="shared" si="11"/>
        <v>307804.79999999999</v>
      </c>
      <c r="F59" s="2">
        <f>156142.4-144876.6+1069.2</f>
        <v>12334.999999999989</v>
      </c>
      <c r="G59" s="2">
        <f>151662.4+143807.4</f>
        <v>295469.8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30.75" customHeight="1" x14ac:dyDescent="0.25">
      <c r="A60" s="8"/>
      <c r="B60" s="70"/>
      <c r="C60" s="58" t="s">
        <v>36</v>
      </c>
      <c r="D60" s="57" t="s">
        <v>6</v>
      </c>
      <c r="E60" s="14">
        <f t="shared" si="11"/>
        <v>629208.29564999999</v>
      </c>
      <c r="F60" s="14">
        <f>F61+F62+F63</f>
        <v>629208.29564999999</v>
      </c>
      <c r="G60" s="14">
        <f t="shared" ref="G60:L60" si="12">G61+G62+G63</f>
        <v>0</v>
      </c>
      <c r="H60" s="14">
        <f t="shared" si="12"/>
        <v>0</v>
      </c>
      <c r="I60" s="14">
        <f t="shared" si="12"/>
        <v>0</v>
      </c>
      <c r="J60" s="14">
        <f t="shared" si="12"/>
        <v>0</v>
      </c>
      <c r="K60" s="14">
        <f t="shared" si="12"/>
        <v>0</v>
      </c>
      <c r="L60" s="14">
        <f t="shared" si="12"/>
        <v>0</v>
      </c>
    </row>
    <row r="61" spans="1:12" ht="30.75" customHeight="1" x14ac:dyDescent="0.25">
      <c r="A61" s="8"/>
      <c r="B61" s="70"/>
      <c r="C61" s="58"/>
      <c r="D61" s="15" t="s">
        <v>13</v>
      </c>
      <c r="E61" s="16">
        <f t="shared" si="11"/>
        <v>214033.1</v>
      </c>
      <c r="F61" s="16">
        <v>214033.1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</row>
    <row r="62" spans="1:12" ht="30.75" customHeight="1" x14ac:dyDescent="0.25">
      <c r="A62" s="8"/>
      <c r="B62" s="70"/>
      <c r="C62" s="58"/>
      <c r="D62" s="15" t="s">
        <v>9</v>
      </c>
      <c r="E62" s="16">
        <f t="shared" si="11"/>
        <v>13110.79565</v>
      </c>
      <c r="F62" s="16">
        <v>13110.79565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ht="29.25" customHeight="1" x14ac:dyDescent="0.25">
      <c r="A63" s="17"/>
      <c r="B63" s="70"/>
      <c r="C63" s="58"/>
      <c r="D63" s="15" t="s">
        <v>10</v>
      </c>
      <c r="E63" s="16">
        <f t="shared" si="11"/>
        <v>402064.4</v>
      </c>
      <c r="F63" s="16">
        <v>402064.4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</row>
    <row r="64" spans="1:12" ht="29.25" customHeight="1" x14ac:dyDescent="0.25">
      <c r="A64" s="18"/>
      <c r="B64" s="22"/>
      <c r="C64" s="19" t="s">
        <v>85</v>
      </c>
      <c r="D64" s="15" t="s">
        <v>13</v>
      </c>
      <c r="E64" s="16">
        <f t="shared" ref="E64:E97" si="13">F64+G64+H64+I64+J64+K64+L64</f>
        <v>3700.7</v>
      </c>
      <c r="F64" s="16">
        <v>0</v>
      </c>
      <c r="G64" s="16">
        <v>0</v>
      </c>
      <c r="H64" s="16">
        <v>3700.7</v>
      </c>
      <c r="I64" s="16">
        <v>0</v>
      </c>
      <c r="J64" s="16">
        <v>0</v>
      </c>
      <c r="K64" s="16">
        <v>0</v>
      </c>
      <c r="L64" s="16">
        <v>0</v>
      </c>
    </row>
    <row r="65" spans="1:12" ht="29.25" customHeight="1" x14ac:dyDescent="0.25">
      <c r="A65" s="18"/>
      <c r="B65" s="22"/>
      <c r="C65" s="19" t="s">
        <v>64</v>
      </c>
      <c r="D65" s="15" t="s">
        <v>13</v>
      </c>
      <c r="E65" s="16">
        <f t="shared" si="13"/>
        <v>8547.2000000000007</v>
      </c>
      <c r="F65" s="16">
        <f>8547.2</f>
        <v>8547.2000000000007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29.25" customHeight="1" x14ac:dyDescent="0.25">
      <c r="A66" s="18"/>
      <c r="B66" s="22"/>
      <c r="C66" s="19" t="s">
        <v>86</v>
      </c>
      <c r="D66" s="15" t="s">
        <v>13</v>
      </c>
      <c r="E66" s="16">
        <f t="shared" si="13"/>
        <v>8181.9</v>
      </c>
      <c r="F66" s="16">
        <v>0</v>
      </c>
      <c r="G66" s="16">
        <v>0</v>
      </c>
      <c r="H66" s="16">
        <f>8181.9</f>
        <v>8181.9</v>
      </c>
      <c r="I66" s="16">
        <v>0</v>
      </c>
      <c r="J66" s="16">
        <v>0</v>
      </c>
      <c r="K66" s="16">
        <v>0</v>
      </c>
      <c r="L66" s="16">
        <v>0</v>
      </c>
    </row>
    <row r="67" spans="1:12" ht="29.25" customHeight="1" x14ac:dyDescent="0.25">
      <c r="A67" s="18"/>
      <c r="B67" s="22"/>
      <c r="C67" s="19" t="s">
        <v>78</v>
      </c>
      <c r="D67" s="15" t="s">
        <v>13</v>
      </c>
      <c r="E67" s="16">
        <f t="shared" si="13"/>
        <v>955453.1</v>
      </c>
      <c r="F67" s="16">
        <v>0</v>
      </c>
      <c r="G67" s="16">
        <v>0</v>
      </c>
      <c r="H67" s="16">
        <v>0</v>
      </c>
      <c r="I67" s="16">
        <v>450000</v>
      </c>
      <c r="J67" s="16">
        <v>505453.1</v>
      </c>
      <c r="K67" s="16">
        <v>0</v>
      </c>
      <c r="L67" s="16">
        <v>0</v>
      </c>
    </row>
    <row r="68" spans="1:12" ht="29.25" customHeight="1" x14ac:dyDescent="0.25">
      <c r="A68" s="18"/>
      <c r="B68" s="22"/>
      <c r="C68" s="19" t="s">
        <v>28</v>
      </c>
      <c r="D68" s="15" t="s">
        <v>13</v>
      </c>
      <c r="E68" s="16">
        <f t="shared" si="13"/>
        <v>3980</v>
      </c>
      <c r="F68" s="16">
        <v>0</v>
      </c>
      <c r="G68" s="16">
        <v>3980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</row>
    <row r="69" spans="1:12" ht="30.75" customHeight="1" x14ac:dyDescent="0.25">
      <c r="A69" s="17"/>
      <c r="B69" s="18"/>
      <c r="C69" s="19" t="s">
        <v>46</v>
      </c>
      <c r="D69" s="15" t="s">
        <v>13</v>
      </c>
      <c r="E69" s="16">
        <f t="shared" si="13"/>
        <v>26273.9</v>
      </c>
      <c r="F69" s="16">
        <v>0</v>
      </c>
      <c r="G69" s="16">
        <v>17554.03</v>
      </c>
      <c r="H69" s="16">
        <v>8719.8700000000008</v>
      </c>
      <c r="I69" s="16">
        <v>0</v>
      </c>
      <c r="J69" s="16">
        <v>0</v>
      </c>
      <c r="K69" s="16">
        <v>0</v>
      </c>
      <c r="L69" s="16">
        <v>0</v>
      </c>
    </row>
    <row r="70" spans="1:12" ht="29.25" customHeight="1" x14ac:dyDescent="0.25">
      <c r="A70" s="8"/>
      <c r="B70" s="22"/>
      <c r="C70" s="19" t="s">
        <v>87</v>
      </c>
      <c r="D70" s="15" t="s">
        <v>13</v>
      </c>
      <c r="E70" s="16">
        <f t="shared" si="13"/>
        <v>13294.4</v>
      </c>
      <c r="F70" s="16">
        <v>0</v>
      </c>
      <c r="G70" s="16">
        <v>0</v>
      </c>
      <c r="H70" s="16">
        <v>13294.4</v>
      </c>
      <c r="I70" s="16">
        <v>0</v>
      </c>
      <c r="J70" s="16">
        <v>0</v>
      </c>
      <c r="K70" s="16">
        <v>0</v>
      </c>
      <c r="L70" s="16">
        <v>0</v>
      </c>
    </row>
    <row r="71" spans="1:12" ht="29.25" customHeight="1" x14ac:dyDescent="0.25">
      <c r="A71" s="10"/>
      <c r="B71" s="22"/>
      <c r="C71" s="19" t="s">
        <v>35</v>
      </c>
      <c r="D71" s="15" t="s">
        <v>13</v>
      </c>
      <c r="E71" s="16">
        <f t="shared" si="13"/>
        <v>9474.7999999999993</v>
      </c>
      <c r="F71" s="16">
        <v>0</v>
      </c>
      <c r="G71" s="16">
        <v>1756</v>
      </c>
      <c r="H71" s="16">
        <v>0</v>
      </c>
      <c r="I71" s="16">
        <v>0</v>
      </c>
      <c r="J71" s="16">
        <v>0</v>
      </c>
      <c r="K71" s="16">
        <v>7718.8</v>
      </c>
      <c r="L71" s="16">
        <v>0</v>
      </c>
    </row>
    <row r="72" spans="1:12" ht="29.25" customHeight="1" x14ac:dyDescent="0.25">
      <c r="A72" s="10"/>
      <c r="B72" s="22"/>
      <c r="C72" s="59" t="s">
        <v>14</v>
      </c>
      <c r="D72" s="13" t="s">
        <v>6</v>
      </c>
      <c r="E72" s="14">
        <f>E73+E74</f>
        <v>247956.64443999997</v>
      </c>
      <c r="F72" s="14">
        <f t="shared" ref="F72:L72" si="14">F73+F74</f>
        <v>104839.33443999999</v>
      </c>
      <c r="G72" s="14">
        <f t="shared" si="14"/>
        <v>71558.654999999999</v>
      </c>
      <c r="H72" s="14">
        <f t="shared" si="14"/>
        <v>71558.654999999999</v>
      </c>
      <c r="I72" s="14">
        <f t="shared" si="14"/>
        <v>0</v>
      </c>
      <c r="J72" s="14">
        <f t="shared" si="14"/>
        <v>0</v>
      </c>
      <c r="K72" s="14">
        <f t="shared" si="14"/>
        <v>0</v>
      </c>
      <c r="L72" s="14">
        <f t="shared" si="14"/>
        <v>0</v>
      </c>
    </row>
    <row r="73" spans="1:12" ht="29.25" customHeight="1" x14ac:dyDescent="0.25">
      <c r="A73" s="8"/>
      <c r="B73" s="10"/>
      <c r="C73" s="60"/>
      <c r="D73" s="15" t="s">
        <v>9</v>
      </c>
      <c r="E73" s="16">
        <f t="shared" si="13"/>
        <v>201488.24443999998</v>
      </c>
      <c r="F73" s="2">
        <f>69830.9-0.02+35008.45444</f>
        <v>104839.33443999999</v>
      </c>
      <c r="G73" s="2">
        <f>47920.66+480.795</f>
        <v>48401.455000000002</v>
      </c>
      <c r="H73" s="2">
        <f>47766.66+480.795</f>
        <v>48247.455000000002</v>
      </c>
      <c r="I73" s="16">
        <v>0</v>
      </c>
      <c r="J73" s="16">
        <v>0</v>
      </c>
      <c r="K73" s="16">
        <v>0</v>
      </c>
      <c r="L73" s="16">
        <v>0</v>
      </c>
    </row>
    <row r="74" spans="1:12" ht="29.25" customHeight="1" x14ac:dyDescent="0.25">
      <c r="A74" s="8"/>
      <c r="B74" s="10"/>
      <c r="C74" s="61"/>
      <c r="D74" s="15" t="s">
        <v>10</v>
      </c>
      <c r="E74" s="16">
        <f>F74+G74+H74+I74+J74+K74+L74</f>
        <v>46468.4</v>
      </c>
      <c r="F74" s="16">
        <v>0</v>
      </c>
      <c r="G74" s="16">
        <v>23157.200000000001</v>
      </c>
      <c r="H74" s="16">
        <v>23311.200000000001</v>
      </c>
      <c r="I74" s="16">
        <v>0</v>
      </c>
      <c r="J74" s="16">
        <v>0</v>
      </c>
      <c r="K74" s="16">
        <v>0</v>
      </c>
      <c r="L74" s="16">
        <v>0</v>
      </c>
    </row>
    <row r="75" spans="1:12" ht="29.25" customHeight="1" x14ac:dyDescent="0.25">
      <c r="A75" s="10"/>
      <c r="B75" s="22"/>
      <c r="C75" s="19" t="s">
        <v>48</v>
      </c>
      <c r="D75" s="15" t="s">
        <v>13</v>
      </c>
      <c r="E75" s="16">
        <f t="shared" si="13"/>
        <v>357181.9</v>
      </c>
      <c r="F75" s="16">
        <v>0</v>
      </c>
      <c r="G75" s="16">
        <v>0</v>
      </c>
      <c r="H75" s="16">
        <v>16208.2</v>
      </c>
      <c r="I75" s="16">
        <v>0</v>
      </c>
      <c r="J75" s="16">
        <v>0</v>
      </c>
      <c r="K75" s="16">
        <v>170000</v>
      </c>
      <c r="L75" s="16">
        <v>170973.7</v>
      </c>
    </row>
    <row r="76" spans="1:12" ht="29.25" customHeight="1" x14ac:dyDescent="0.25">
      <c r="A76" s="10"/>
      <c r="B76" s="22"/>
      <c r="C76" s="19" t="s">
        <v>88</v>
      </c>
      <c r="D76" s="15" t="s">
        <v>13</v>
      </c>
      <c r="E76" s="16">
        <f t="shared" si="13"/>
        <v>30000</v>
      </c>
      <c r="F76" s="16">
        <v>30000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1:12" ht="29.25" customHeight="1" x14ac:dyDescent="0.25">
      <c r="A77" s="10"/>
      <c r="B77" s="22"/>
      <c r="C77" s="59" t="s">
        <v>60</v>
      </c>
      <c r="D77" s="13" t="s">
        <v>6</v>
      </c>
      <c r="E77" s="14">
        <f t="shared" si="13"/>
        <v>251892.5</v>
      </c>
      <c r="F77" s="14">
        <f>F78+F79+F80</f>
        <v>5582</v>
      </c>
      <c r="G77" s="14">
        <f t="shared" ref="G77:L77" si="15">G78+G79+G80</f>
        <v>246310.5</v>
      </c>
      <c r="H77" s="14">
        <f t="shared" si="15"/>
        <v>0</v>
      </c>
      <c r="I77" s="14">
        <f t="shared" si="15"/>
        <v>0</v>
      </c>
      <c r="J77" s="14">
        <f t="shared" si="15"/>
        <v>0</v>
      </c>
      <c r="K77" s="14">
        <f t="shared" si="15"/>
        <v>0</v>
      </c>
      <c r="L77" s="14">
        <f t="shared" si="15"/>
        <v>0</v>
      </c>
    </row>
    <row r="78" spans="1:12" ht="29.25" customHeight="1" x14ac:dyDescent="0.25">
      <c r="A78" s="10"/>
      <c r="B78" s="22"/>
      <c r="C78" s="60"/>
      <c r="D78" s="15" t="s">
        <v>13</v>
      </c>
      <c r="E78" s="16">
        <f t="shared" si="13"/>
        <v>5582</v>
      </c>
      <c r="F78" s="2">
        <f>5800.6-218.6</f>
        <v>5582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1:12" ht="29.25" customHeight="1" x14ac:dyDescent="0.25">
      <c r="A79" s="10"/>
      <c r="B79" s="22"/>
      <c r="C79" s="60"/>
      <c r="D79" s="15" t="s">
        <v>9</v>
      </c>
      <c r="E79" s="16">
        <f t="shared" si="13"/>
        <v>2463.1999999999998</v>
      </c>
      <c r="F79" s="16">
        <v>0</v>
      </c>
      <c r="G79" s="16">
        <v>2463.1999999999998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</row>
    <row r="80" spans="1:12" ht="29.25" customHeight="1" x14ac:dyDescent="0.25">
      <c r="A80" s="10"/>
      <c r="B80" s="22"/>
      <c r="C80" s="61"/>
      <c r="D80" s="15" t="s">
        <v>10</v>
      </c>
      <c r="E80" s="16">
        <f t="shared" si="13"/>
        <v>243847.3</v>
      </c>
      <c r="F80" s="16">
        <v>0</v>
      </c>
      <c r="G80" s="16">
        <v>243847.3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</row>
    <row r="81" spans="1:12" ht="41.25" customHeight="1" x14ac:dyDescent="0.25">
      <c r="A81" s="10"/>
      <c r="B81" s="22"/>
      <c r="C81" s="19" t="s">
        <v>101</v>
      </c>
      <c r="D81" s="15" t="s">
        <v>13</v>
      </c>
      <c r="E81" s="16">
        <f t="shared" si="13"/>
        <v>63951.5</v>
      </c>
      <c r="F81" s="16">
        <v>0</v>
      </c>
      <c r="G81" s="16">
        <v>0</v>
      </c>
      <c r="H81" s="16">
        <v>63951.5</v>
      </c>
      <c r="I81" s="16">
        <v>0</v>
      </c>
      <c r="J81" s="16">
        <v>0</v>
      </c>
      <c r="K81" s="16">
        <v>0</v>
      </c>
      <c r="L81" s="16">
        <v>0</v>
      </c>
    </row>
    <row r="82" spans="1:12" ht="41.25" customHeight="1" x14ac:dyDescent="0.25">
      <c r="A82" s="10"/>
      <c r="B82" s="22"/>
      <c r="C82" s="19" t="s">
        <v>62</v>
      </c>
      <c r="D82" s="15" t="s">
        <v>13</v>
      </c>
      <c r="E82" s="16">
        <f t="shared" si="13"/>
        <v>1633</v>
      </c>
      <c r="F82" s="16">
        <v>0</v>
      </c>
      <c r="G82" s="16">
        <v>1633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1:12" ht="30" x14ac:dyDescent="0.25">
      <c r="A83" s="18"/>
      <c r="B83" s="22"/>
      <c r="C83" s="19" t="s">
        <v>16</v>
      </c>
      <c r="D83" s="15" t="s">
        <v>13</v>
      </c>
      <c r="E83" s="16">
        <f t="shared" si="13"/>
        <v>8488</v>
      </c>
      <c r="F83" s="16">
        <f>8488-8487.6</f>
        <v>0.3999999999996362</v>
      </c>
      <c r="G83" s="16">
        <v>0</v>
      </c>
      <c r="H83" s="16">
        <v>8487.6</v>
      </c>
      <c r="I83" s="16">
        <v>0</v>
      </c>
      <c r="J83" s="16">
        <v>0</v>
      </c>
      <c r="K83" s="16">
        <v>0</v>
      </c>
      <c r="L83" s="16">
        <v>0</v>
      </c>
    </row>
    <row r="84" spans="1:12" ht="30" x14ac:dyDescent="0.25">
      <c r="A84" s="18"/>
      <c r="B84" s="22"/>
      <c r="C84" s="19" t="s">
        <v>90</v>
      </c>
      <c r="D84" s="15" t="s">
        <v>13</v>
      </c>
      <c r="E84" s="16">
        <f t="shared" si="13"/>
        <v>2808.2</v>
      </c>
      <c r="F84" s="16">
        <v>2808.2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</row>
    <row r="85" spans="1:12" ht="30" x14ac:dyDescent="0.25">
      <c r="A85" s="18"/>
      <c r="B85" s="22"/>
      <c r="C85" s="19" t="s">
        <v>89</v>
      </c>
      <c r="D85" s="15" t="s">
        <v>13</v>
      </c>
      <c r="E85" s="16">
        <f t="shared" si="13"/>
        <v>1197.4000000000001</v>
      </c>
      <c r="F85" s="16">
        <f>1197.4</f>
        <v>1197.4000000000001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</row>
    <row r="86" spans="1:12" ht="45" x14ac:dyDescent="0.25">
      <c r="A86" s="18"/>
      <c r="B86" s="22"/>
      <c r="C86" s="19" t="s">
        <v>91</v>
      </c>
      <c r="D86" s="15" t="s">
        <v>13</v>
      </c>
      <c r="E86" s="16">
        <f t="shared" si="13"/>
        <v>2689.5</v>
      </c>
      <c r="F86" s="16">
        <v>2689.5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1:12" ht="30" x14ac:dyDescent="0.25">
      <c r="A87" s="18"/>
      <c r="B87" s="22"/>
      <c r="C87" s="19" t="s">
        <v>92</v>
      </c>
      <c r="D87" s="15" t="s">
        <v>13</v>
      </c>
      <c r="E87" s="16">
        <f t="shared" si="13"/>
        <v>22.382000000000001</v>
      </c>
      <c r="F87" s="16">
        <f>22.382</f>
        <v>22.382000000000001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</row>
    <row r="88" spans="1:12" ht="30" x14ac:dyDescent="0.25">
      <c r="A88" s="18"/>
      <c r="B88" s="22"/>
      <c r="C88" s="19" t="s">
        <v>93</v>
      </c>
      <c r="D88" s="15" t="s">
        <v>13</v>
      </c>
      <c r="E88" s="16">
        <f t="shared" si="13"/>
        <v>21.873999999999999</v>
      </c>
      <c r="F88" s="16">
        <f>21.874</f>
        <v>21.873999999999999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</row>
    <row r="89" spans="1:12" ht="30" x14ac:dyDescent="0.25">
      <c r="A89" s="18"/>
      <c r="B89" s="22"/>
      <c r="C89" s="19" t="s">
        <v>94</v>
      </c>
      <c r="D89" s="15" t="s">
        <v>13</v>
      </c>
      <c r="E89" s="16">
        <f t="shared" si="13"/>
        <v>26.754999999999999</v>
      </c>
      <c r="F89" s="16">
        <f>26.755</f>
        <v>26.754999999999999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</row>
    <row r="90" spans="1:12" ht="30" x14ac:dyDescent="0.25">
      <c r="A90" s="18"/>
      <c r="B90" s="22"/>
      <c r="C90" s="19" t="s">
        <v>95</v>
      </c>
      <c r="D90" s="15" t="s">
        <v>13</v>
      </c>
      <c r="E90" s="16">
        <f t="shared" si="13"/>
        <v>63.889000000000003</v>
      </c>
      <c r="F90" s="16">
        <f>63.889</f>
        <v>63.889000000000003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1:12" ht="30" x14ac:dyDescent="0.25">
      <c r="A91" s="18"/>
      <c r="B91" s="22"/>
      <c r="C91" s="19" t="s">
        <v>96</v>
      </c>
      <c r="D91" s="15" t="s">
        <v>13</v>
      </c>
      <c r="E91" s="16">
        <f t="shared" si="13"/>
        <v>26.7</v>
      </c>
      <c r="F91" s="16">
        <f>26.7</f>
        <v>26.7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1:12" ht="30" x14ac:dyDescent="0.25">
      <c r="A92" s="18"/>
      <c r="B92" s="22"/>
      <c r="C92" s="19" t="s">
        <v>98</v>
      </c>
      <c r="D92" s="15" t="s">
        <v>13</v>
      </c>
      <c r="E92" s="16">
        <f t="shared" si="13"/>
        <v>6432.2</v>
      </c>
      <c r="F92" s="16">
        <v>6432.2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</row>
    <row r="93" spans="1:12" ht="30" x14ac:dyDescent="0.25">
      <c r="A93" s="18"/>
      <c r="B93" s="22"/>
      <c r="C93" s="25" t="s">
        <v>103</v>
      </c>
      <c r="D93" s="15" t="s">
        <v>13</v>
      </c>
      <c r="E93" s="16">
        <f t="shared" si="13"/>
        <v>614.6</v>
      </c>
      <c r="F93" s="16">
        <v>614.6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</row>
    <row r="94" spans="1:12" ht="30" x14ac:dyDescent="0.25">
      <c r="A94" s="18"/>
      <c r="B94" s="22"/>
      <c r="C94" s="25" t="s">
        <v>110</v>
      </c>
      <c r="D94" s="15" t="s">
        <v>13</v>
      </c>
      <c r="E94" s="16">
        <f t="shared" si="13"/>
        <v>877.3</v>
      </c>
      <c r="F94" s="2">
        <v>877.3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1:12" ht="30" x14ac:dyDescent="0.25">
      <c r="A95" s="18"/>
      <c r="B95" s="22"/>
      <c r="C95" s="47" t="s">
        <v>104</v>
      </c>
      <c r="D95" s="15" t="s">
        <v>13</v>
      </c>
      <c r="E95" s="16">
        <f t="shared" si="13"/>
        <v>598.9</v>
      </c>
      <c r="F95" s="16">
        <v>598.9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</row>
    <row r="96" spans="1:12" ht="30" x14ac:dyDescent="0.25">
      <c r="A96" s="18"/>
      <c r="B96" s="22"/>
      <c r="C96" s="47" t="s">
        <v>111</v>
      </c>
      <c r="D96" s="15" t="s">
        <v>13</v>
      </c>
      <c r="E96" s="16">
        <f t="shared" si="13"/>
        <v>855.7</v>
      </c>
      <c r="F96" s="2">
        <v>855.7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1:12" ht="31.5" customHeight="1" x14ac:dyDescent="0.25">
      <c r="A97" s="18"/>
      <c r="B97" s="22"/>
      <c r="C97" s="48" t="s">
        <v>112</v>
      </c>
      <c r="D97" s="15" t="s">
        <v>13</v>
      </c>
      <c r="E97" s="16">
        <f t="shared" si="13"/>
        <v>4648.8</v>
      </c>
      <c r="F97" s="16">
        <v>0</v>
      </c>
      <c r="G97" s="2">
        <v>4648.8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</row>
    <row r="98" spans="1:12" x14ac:dyDescent="0.25">
      <c r="A98" s="79"/>
      <c r="B98" s="68" t="s">
        <v>17</v>
      </c>
      <c r="C98" s="69" t="s">
        <v>18</v>
      </c>
      <c r="D98" s="13" t="s">
        <v>6</v>
      </c>
      <c r="E98" s="14">
        <f t="shared" ref="E98:E103" si="16">F98+G98+H98+I98+J98+K98+L98</f>
        <v>1568940.3599999999</v>
      </c>
      <c r="F98" s="26">
        <f t="shared" ref="F98:L98" si="17">F99+F100+F101</f>
        <v>155606.29999999999</v>
      </c>
      <c r="G98" s="26">
        <f t="shared" si="17"/>
        <v>195746.59999999998</v>
      </c>
      <c r="H98" s="26">
        <f t="shared" si="17"/>
        <v>80769.86</v>
      </c>
      <c r="I98" s="26">
        <f t="shared" si="17"/>
        <v>12697.1</v>
      </c>
      <c r="J98" s="26">
        <f t="shared" si="17"/>
        <v>373455.3</v>
      </c>
      <c r="K98" s="26">
        <f t="shared" si="17"/>
        <v>261953</v>
      </c>
      <c r="L98" s="26">
        <f t="shared" si="17"/>
        <v>488712.2</v>
      </c>
    </row>
    <row r="99" spans="1:12" ht="28.5" x14ac:dyDescent="0.25">
      <c r="A99" s="79"/>
      <c r="B99" s="68"/>
      <c r="C99" s="69"/>
      <c r="D99" s="13" t="s">
        <v>8</v>
      </c>
      <c r="E99" s="14">
        <f t="shared" si="16"/>
        <v>1396188.76</v>
      </c>
      <c r="F99" s="26">
        <f>F102+F103+F104+F105+F111+F112+F113+F114+F115+F116+F118+F121+F123+F124+F126+F129+F132+F135</f>
        <v>63854.7</v>
      </c>
      <c r="G99" s="26">
        <f>G102+G103+G104+G105+G111+G112+G113+G114+G115+G116+G118+G121+G123+G124+G126+G129+G132+G135+G137+G138+G139+G140</f>
        <v>114746.59999999999</v>
      </c>
      <c r="H99" s="26">
        <f>H102+H103+H104+H105+H111+H112+H113+H114+H115+H116+H118+H121+H123+H124</f>
        <v>80769.86</v>
      </c>
      <c r="I99" s="26">
        <f>I102+I103+I104+I105+I106+I107+I108+I109+I110+I111+I112+I113+I114+I115+I116+I118+I121+I123+I124</f>
        <v>12697.1</v>
      </c>
      <c r="J99" s="26">
        <f>J102+J103+J104+J105+J111+J112+J113+J114+J115+J116+J118+J121+J123+J124</f>
        <v>373455.3</v>
      </c>
      <c r="K99" s="26">
        <f>K102+K103+K104+K105+K111+K112+K113+K114+K115+K116+K118+K121+K123+K124</f>
        <v>261953</v>
      </c>
      <c r="L99" s="26">
        <f>L102+L103+L104+L105+L111+L112+L113+L114+L115+L116+L118+L121+L123+L124+L106+L107+L108+L109+L110</f>
        <v>488712.2</v>
      </c>
    </row>
    <row r="100" spans="1:12" ht="42.75" x14ac:dyDescent="0.25">
      <c r="A100" s="79"/>
      <c r="B100" s="68"/>
      <c r="C100" s="69"/>
      <c r="D100" s="13" t="s">
        <v>9</v>
      </c>
      <c r="E100" s="14">
        <f t="shared" si="16"/>
        <v>172751.6</v>
      </c>
      <c r="F100" s="26">
        <f>F119+F127+F130+F133+F122+F136</f>
        <v>91751.6</v>
      </c>
      <c r="G100" s="26">
        <f>G119+G127+G130+G133+G122+G136</f>
        <v>81000</v>
      </c>
      <c r="H100" s="26">
        <f t="shared" ref="H100:L100" si="18">H119+H127+H130+H133+H122</f>
        <v>0</v>
      </c>
      <c r="I100" s="26">
        <f t="shared" si="18"/>
        <v>0</v>
      </c>
      <c r="J100" s="26">
        <f t="shared" si="18"/>
        <v>0</v>
      </c>
      <c r="K100" s="26">
        <f t="shared" si="18"/>
        <v>0</v>
      </c>
      <c r="L100" s="26">
        <f t="shared" si="18"/>
        <v>0</v>
      </c>
    </row>
    <row r="101" spans="1:12" ht="28.5" x14ac:dyDescent="0.25">
      <c r="A101" s="79"/>
      <c r="B101" s="68"/>
      <c r="C101" s="69"/>
      <c r="D101" s="13" t="s">
        <v>10</v>
      </c>
      <c r="E101" s="14">
        <f t="shared" si="16"/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</row>
    <row r="102" spans="1:12" ht="45" x14ac:dyDescent="0.25">
      <c r="A102" s="8"/>
      <c r="B102" s="10"/>
      <c r="C102" s="20" t="s">
        <v>27</v>
      </c>
      <c r="D102" s="15" t="s">
        <v>13</v>
      </c>
      <c r="E102" s="16">
        <f t="shared" si="16"/>
        <v>3000</v>
      </c>
      <c r="F102" s="16">
        <v>0</v>
      </c>
      <c r="G102" s="16">
        <v>3000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1:12" ht="30" x14ac:dyDescent="0.25">
      <c r="A103" s="8"/>
      <c r="B103" s="10"/>
      <c r="C103" s="20" t="s">
        <v>65</v>
      </c>
      <c r="D103" s="15" t="s">
        <v>13</v>
      </c>
      <c r="E103" s="16">
        <f t="shared" si="16"/>
        <v>53678.86</v>
      </c>
      <c r="F103" s="16">
        <v>0</v>
      </c>
      <c r="G103" s="16">
        <v>8161.3</v>
      </c>
      <c r="H103" s="16">
        <v>45517.56</v>
      </c>
      <c r="I103" s="16">
        <v>0</v>
      </c>
      <c r="J103" s="16">
        <v>0</v>
      </c>
      <c r="K103" s="16">
        <v>0</v>
      </c>
      <c r="L103" s="16">
        <v>0</v>
      </c>
    </row>
    <row r="104" spans="1:12" ht="44.25" customHeight="1" x14ac:dyDescent="0.25">
      <c r="A104" s="17"/>
      <c r="B104" s="27"/>
      <c r="C104" s="28" t="s">
        <v>29</v>
      </c>
      <c r="D104" s="15" t="s">
        <v>13</v>
      </c>
      <c r="E104" s="16">
        <f t="shared" ref="E104:E116" si="19">F104+G104+H104+I104+J104+K104+L104</f>
        <v>519253</v>
      </c>
      <c r="F104" s="16">
        <v>0</v>
      </c>
      <c r="G104" s="16">
        <v>7300</v>
      </c>
      <c r="H104" s="16">
        <v>0</v>
      </c>
      <c r="I104" s="16">
        <v>0</v>
      </c>
      <c r="J104" s="16">
        <v>250000</v>
      </c>
      <c r="K104" s="16">
        <v>261953</v>
      </c>
      <c r="L104" s="16">
        <v>0</v>
      </c>
    </row>
    <row r="105" spans="1:12" ht="30" x14ac:dyDescent="0.25">
      <c r="A105" s="29"/>
      <c r="B105" s="10"/>
      <c r="C105" s="20" t="s">
        <v>30</v>
      </c>
      <c r="D105" s="15" t="s">
        <v>13</v>
      </c>
      <c r="E105" s="16">
        <f t="shared" si="19"/>
        <v>120201.60000000001</v>
      </c>
      <c r="F105" s="16">
        <v>0</v>
      </c>
      <c r="G105" s="16">
        <v>8650</v>
      </c>
      <c r="H105" s="16">
        <v>0</v>
      </c>
      <c r="I105" s="16">
        <v>0</v>
      </c>
      <c r="J105" s="16">
        <v>0</v>
      </c>
      <c r="K105" s="16">
        <v>0</v>
      </c>
      <c r="L105" s="16">
        <v>111551.6</v>
      </c>
    </row>
    <row r="106" spans="1:12" ht="30" x14ac:dyDescent="0.25">
      <c r="A106" s="29"/>
      <c r="B106" s="10"/>
      <c r="C106" s="30" t="s">
        <v>79</v>
      </c>
      <c r="D106" s="15" t="s">
        <v>13</v>
      </c>
      <c r="E106" s="16">
        <f t="shared" si="19"/>
        <v>269298.3</v>
      </c>
      <c r="F106" s="31">
        <f>44697.58-29697.58-4700-10000-300</f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269298.3</v>
      </c>
    </row>
    <row r="107" spans="1:12" ht="45" x14ac:dyDescent="0.25">
      <c r="A107" s="29"/>
      <c r="B107" s="10"/>
      <c r="C107" s="28" t="s">
        <v>80</v>
      </c>
      <c r="D107" s="15" t="s">
        <v>13</v>
      </c>
      <c r="E107" s="16">
        <f t="shared" si="19"/>
        <v>27628</v>
      </c>
      <c r="F107" s="31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27628</v>
      </c>
    </row>
    <row r="108" spans="1:12" ht="30" x14ac:dyDescent="0.25">
      <c r="A108" s="29"/>
      <c r="B108" s="10"/>
      <c r="C108" s="19" t="s">
        <v>81</v>
      </c>
      <c r="D108" s="15" t="s">
        <v>13</v>
      </c>
      <c r="E108" s="16">
        <f t="shared" si="19"/>
        <v>6629</v>
      </c>
      <c r="F108" s="16">
        <v>0</v>
      </c>
      <c r="G108" s="16">
        <v>0</v>
      </c>
      <c r="H108" s="16">
        <v>0</v>
      </c>
      <c r="I108" s="16">
        <v>6629</v>
      </c>
      <c r="J108" s="16">
        <v>0</v>
      </c>
      <c r="K108" s="16">
        <v>0</v>
      </c>
      <c r="L108" s="16">
        <v>0</v>
      </c>
    </row>
    <row r="109" spans="1:12" ht="30" x14ac:dyDescent="0.25">
      <c r="A109" s="29"/>
      <c r="B109" s="10"/>
      <c r="C109" s="19" t="s">
        <v>82</v>
      </c>
      <c r="D109" s="15" t="s">
        <v>13</v>
      </c>
      <c r="E109" s="16">
        <f t="shared" si="19"/>
        <v>6068.1</v>
      </c>
      <c r="F109" s="16">
        <v>0</v>
      </c>
      <c r="G109" s="16">
        <v>0</v>
      </c>
      <c r="H109" s="16">
        <v>0</v>
      </c>
      <c r="I109" s="16">
        <v>6068.1</v>
      </c>
      <c r="J109" s="16">
        <v>0</v>
      </c>
      <c r="K109" s="16">
        <v>0</v>
      </c>
      <c r="L109" s="16">
        <v>0</v>
      </c>
    </row>
    <row r="110" spans="1:12" ht="45" x14ac:dyDescent="0.25">
      <c r="A110" s="29"/>
      <c r="B110" s="10"/>
      <c r="C110" s="19" t="s">
        <v>83</v>
      </c>
      <c r="D110" s="15" t="s">
        <v>13</v>
      </c>
      <c r="E110" s="16">
        <f t="shared" si="19"/>
        <v>80234.3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80234.3</v>
      </c>
    </row>
    <row r="111" spans="1:12" ht="45" x14ac:dyDescent="0.25">
      <c r="A111" s="29"/>
      <c r="B111" s="10"/>
      <c r="C111" s="19" t="s">
        <v>20</v>
      </c>
      <c r="D111" s="15" t="s">
        <v>13</v>
      </c>
      <c r="E111" s="16">
        <f>F111+G111+H111+I111+J111+K111+L111</f>
        <v>4979.6000000000004</v>
      </c>
      <c r="F111" s="31">
        <v>0</v>
      </c>
      <c r="G111" s="16">
        <v>0</v>
      </c>
      <c r="H111" s="16">
        <v>4979.6000000000004</v>
      </c>
      <c r="I111" s="16">
        <v>0</v>
      </c>
      <c r="J111" s="16">
        <v>0</v>
      </c>
      <c r="K111" s="16">
        <v>0</v>
      </c>
      <c r="L111" s="16">
        <v>0</v>
      </c>
    </row>
    <row r="112" spans="1:12" ht="30" x14ac:dyDescent="0.25">
      <c r="A112" s="29"/>
      <c r="B112" s="10"/>
      <c r="C112" s="19" t="s">
        <v>21</v>
      </c>
      <c r="D112" s="15" t="s">
        <v>13</v>
      </c>
      <c r="E112" s="16">
        <f t="shared" si="19"/>
        <v>11390.1</v>
      </c>
      <c r="F112" s="16">
        <v>0</v>
      </c>
      <c r="G112" s="16">
        <v>0</v>
      </c>
      <c r="H112" s="16">
        <v>11390.1</v>
      </c>
      <c r="I112" s="16">
        <v>0</v>
      </c>
      <c r="J112" s="16">
        <v>0</v>
      </c>
      <c r="K112" s="16">
        <v>0</v>
      </c>
      <c r="L112" s="16">
        <v>0</v>
      </c>
    </row>
    <row r="113" spans="1:12" ht="30" x14ac:dyDescent="0.25">
      <c r="A113" s="8"/>
      <c r="B113" s="10"/>
      <c r="C113" s="28" t="s">
        <v>32</v>
      </c>
      <c r="D113" s="15" t="s">
        <v>13</v>
      </c>
      <c r="E113" s="16">
        <f t="shared" si="19"/>
        <v>112906.8</v>
      </c>
      <c r="F113" s="16">
        <v>0</v>
      </c>
      <c r="G113" s="16">
        <v>5837</v>
      </c>
      <c r="H113" s="16">
        <v>0</v>
      </c>
      <c r="I113" s="16">
        <v>0</v>
      </c>
      <c r="J113" s="16">
        <v>107069.8</v>
      </c>
      <c r="K113" s="16">
        <v>0</v>
      </c>
      <c r="L113" s="16">
        <v>0</v>
      </c>
    </row>
    <row r="114" spans="1:12" ht="49.5" customHeight="1" x14ac:dyDescent="0.25">
      <c r="A114" s="8"/>
      <c r="B114" s="10"/>
      <c r="C114" s="19" t="s">
        <v>33</v>
      </c>
      <c r="D114" s="15" t="s">
        <v>13</v>
      </c>
      <c r="E114" s="16">
        <f t="shared" si="19"/>
        <v>13670.1</v>
      </c>
      <c r="F114" s="16">
        <v>0</v>
      </c>
      <c r="G114" s="16">
        <v>1500</v>
      </c>
      <c r="H114" s="16">
        <v>0</v>
      </c>
      <c r="I114" s="16">
        <v>0</v>
      </c>
      <c r="J114" s="16">
        <v>12170.1</v>
      </c>
      <c r="K114" s="16">
        <v>0</v>
      </c>
      <c r="L114" s="16">
        <v>0</v>
      </c>
    </row>
    <row r="115" spans="1:12" ht="45" customHeight="1" x14ac:dyDescent="0.25">
      <c r="A115" s="8"/>
      <c r="B115" s="10"/>
      <c r="C115" s="19" t="s">
        <v>34</v>
      </c>
      <c r="D115" s="15" t="s">
        <v>13</v>
      </c>
      <c r="E115" s="16">
        <f t="shared" si="19"/>
        <v>5315.4</v>
      </c>
      <c r="F115" s="16">
        <v>0</v>
      </c>
      <c r="G115" s="16">
        <v>1100</v>
      </c>
      <c r="H115" s="16">
        <v>0</v>
      </c>
      <c r="I115" s="16">
        <v>0</v>
      </c>
      <c r="J115" s="16">
        <v>4215.3999999999996</v>
      </c>
      <c r="K115" s="16">
        <v>0</v>
      </c>
      <c r="L115" s="16">
        <v>0</v>
      </c>
    </row>
    <row r="116" spans="1:12" ht="45" customHeight="1" x14ac:dyDescent="0.25">
      <c r="A116" s="8"/>
      <c r="B116" s="10"/>
      <c r="C116" s="19" t="s">
        <v>19</v>
      </c>
      <c r="D116" s="15" t="s">
        <v>13</v>
      </c>
      <c r="E116" s="16">
        <f t="shared" si="19"/>
        <v>16921.5</v>
      </c>
      <c r="F116" s="16">
        <v>0</v>
      </c>
      <c r="G116" s="16">
        <v>6921.5</v>
      </c>
      <c r="H116" s="16">
        <v>10000</v>
      </c>
      <c r="I116" s="16">
        <v>0</v>
      </c>
      <c r="J116" s="16">
        <v>0</v>
      </c>
      <c r="K116" s="16">
        <v>0</v>
      </c>
      <c r="L116" s="16">
        <v>0</v>
      </c>
    </row>
    <row r="117" spans="1:12" ht="30" customHeight="1" x14ac:dyDescent="0.25">
      <c r="A117" s="8"/>
      <c r="B117" s="62"/>
      <c r="C117" s="59" t="s">
        <v>52</v>
      </c>
      <c r="D117" s="13" t="s">
        <v>6</v>
      </c>
      <c r="E117" s="16">
        <f t="shared" ref="E117:E151" si="20">F117+G117+H117+I117+J117+K117+L117</f>
        <v>20819.400000000001</v>
      </c>
      <c r="F117" s="16">
        <f>F118+F119</f>
        <v>20819.400000000001</v>
      </c>
      <c r="G117" s="16">
        <f t="shared" ref="G117:L117" si="21">G118+G119</f>
        <v>0</v>
      </c>
      <c r="H117" s="16">
        <f t="shared" si="21"/>
        <v>0</v>
      </c>
      <c r="I117" s="16">
        <f t="shared" si="21"/>
        <v>0</v>
      </c>
      <c r="J117" s="16">
        <f t="shared" si="21"/>
        <v>0</v>
      </c>
      <c r="K117" s="16">
        <f t="shared" si="21"/>
        <v>0</v>
      </c>
      <c r="L117" s="16">
        <f t="shared" si="21"/>
        <v>0</v>
      </c>
    </row>
    <row r="118" spans="1:12" ht="36.75" customHeight="1" x14ac:dyDescent="0.25">
      <c r="A118" s="8"/>
      <c r="B118" s="63"/>
      <c r="C118" s="60"/>
      <c r="D118" s="15" t="s">
        <v>13</v>
      </c>
      <c r="E118" s="16">
        <f t="shared" si="20"/>
        <v>8169.4</v>
      </c>
      <c r="F118" s="16">
        <f>6431.4+1738</f>
        <v>8169.4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1:12" ht="39.75" customHeight="1" x14ac:dyDescent="0.25">
      <c r="A119" s="8"/>
      <c r="B119" s="64"/>
      <c r="C119" s="61"/>
      <c r="D119" s="15" t="s">
        <v>9</v>
      </c>
      <c r="E119" s="16">
        <f t="shared" si="20"/>
        <v>12650</v>
      </c>
      <c r="F119" s="16">
        <v>12650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</row>
    <row r="120" spans="1:12" ht="39.75" customHeight="1" x14ac:dyDescent="0.25">
      <c r="A120" s="8"/>
      <c r="B120" s="62"/>
      <c r="C120" s="59" t="s">
        <v>97</v>
      </c>
      <c r="D120" s="13" t="s">
        <v>6</v>
      </c>
      <c r="E120" s="16">
        <f>E121+E122</f>
        <v>32900.699999999997</v>
      </c>
      <c r="F120" s="16">
        <f t="shared" ref="F120:L120" si="22">F121+F122</f>
        <v>32479.199999999997</v>
      </c>
      <c r="G120" s="16">
        <f t="shared" si="22"/>
        <v>421.50000000000023</v>
      </c>
      <c r="H120" s="16">
        <f t="shared" si="22"/>
        <v>0</v>
      </c>
      <c r="I120" s="16">
        <f t="shared" si="22"/>
        <v>0</v>
      </c>
      <c r="J120" s="16">
        <f t="shared" si="22"/>
        <v>0</v>
      </c>
      <c r="K120" s="16">
        <f t="shared" si="22"/>
        <v>0</v>
      </c>
      <c r="L120" s="16">
        <f t="shared" si="22"/>
        <v>0</v>
      </c>
    </row>
    <row r="121" spans="1:12" ht="36" customHeight="1" x14ac:dyDescent="0.25">
      <c r="A121" s="8"/>
      <c r="B121" s="63"/>
      <c r="C121" s="60"/>
      <c r="D121" s="15" t="s">
        <v>13</v>
      </c>
      <c r="E121" s="16">
        <f t="shared" si="20"/>
        <v>20299.099999999999</v>
      </c>
      <c r="F121" s="2">
        <f>19877.6-5400.7+5400.7</f>
        <v>19877.599999999999</v>
      </c>
      <c r="G121" s="2">
        <f>5656.1-4648.8-585.8</f>
        <v>421.50000000000023</v>
      </c>
      <c r="H121" s="16">
        <v>0</v>
      </c>
      <c r="I121" s="16">
        <v>0</v>
      </c>
      <c r="J121" s="16">
        <v>0</v>
      </c>
      <c r="K121" s="16">
        <v>0</v>
      </c>
      <c r="L121" s="16">
        <f>1700-1700</f>
        <v>0</v>
      </c>
    </row>
    <row r="122" spans="1:12" ht="37.5" customHeight="1" x14ac:dyDescent="0.25">
      <c r="A122" s="8"/>
      <c r="B122" s="64"/>
      <c r="C122" s="61"/>
      <c r="D122" s="15" t="s">
        <v>9</v>
      </c>
      <c r="E122" s="16">
        <f t="shared" si="20"/>
        <v>12601.6</v>
      </c>
      <c r="F122" s="2">
        <v>12601.6</v>
      </c>
      <c r="G122" s="1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1:12" ht="48" customHeight="1" x14ac:dyDescent="0.25">
      <c r="A123" s="8"/>
      <c r="B123" s="10"/>
      <c r="C123" s="19" t="s">
        <v>57</v>
      </c>
      <c r="D123" s="15" t="s">
        <v>13</v>
      </c>
      <c r="E123" s="16">
        <f t="shared" si="20"/>
        <v>8882.6</v>
      </c>
      <c r="F123" s="16">
        <v>0</v>
      </c>
      <c r="G123" s="16">
        <v>0</v>
      </c>
      <c r="H123" s="16">
        <v>8882.6</v>
      </c>
      <c r="I123" s="16">
        <v>0</v>
      </c>
      <c r="J123" s="16">
        <v>0</v>
      </c>
      <c r="K123" s="16">
        <v>0</v>
      </c>
      <c r="L123" s="16">
        <v>0</v>
      </c>
    </row>
    <row r="124" spans="1:12" ht="48.75" customHeight="1" x14ac:dyDescent="0.25">
      <c r="A124" s="29"/>
      <c r="B124" s="10"/>
      <c r="C124" s="28" t="s">
        <v>53</v>
      </c>
      <c r="D124" s="15" t="s">
        <v>13</v>
      </c>
      <c r="E124" s="16">
        <f t="shared" si="20"/>
        <v>2358.1999999999998</v>
      </c>
      <c r="F124" s="31">
        <v>0</v>
      </c>
      <c r="G124" s="16">
        <v>2358.1999999999998</v>
      </c>
      <c r="H124" s="16">
        <v>0</v>
      </c>
      <c r="I124" s="16">
        <v>0</v>
      </c>
      <c r="J124" s="16">
        <v>0</v>
      </c>
      <c r="K124" s="16">
        <v>0</v>
      </c>
      <c r="L124" s="16">
        <f>2290-2290</f>
        <v>0</v>
      </c>
    </row>
    <row r="125" spans="1:12" ht="31.5" customHeight="1" x14ac:dyDescent="0.25">
      <c r="A125" s="29"/>
      <c r="B125" s="62"/>
      <c r="C125" s="71" t="s">
        <v>105</v>
      </c>
      <c r="D125" s="13" t="s">
        <v>6</v>
      </c>
      <c r="E125" s="16">
        <f>F125+G125+H125+I125+J125+K125+L125</f>
        <v>45943.689999999995</v>
      </c>
      <c r="F125" s="16">
        <f>F126+F127</f>
        <v>20674.659999999996</v>
      </c>
      <c r="G125" s="16">
        <f>G126+G127</f>
        <v>25269.03</v>
      </c>
      <c r="H125" s="16">
        <f t="shared" ref="H125:L125" si="23">H126+H127</f>
        <v>0</v>
      </c>
      <c r="I125" s="16">
        <f t="shared" si="23"/>
        <v>0</v>
      </c>
      <c r="J125" s="16">
        <f t="shared" si="23"/>
        <v>0</v>
      </c>
      <c r="K125" s="16">
        <f t="shared" si="23"/>
        <v>0</v>
      </c>
      <c r="L125" s="16">
        <f t="shared" si="23"/>
        <v>0</v>
      </c>
    </row>
    <row r="126" spans="1:12" ht="26.25" customHeight="1" x14ac:dyDescent="0.25">
      <c r="A126" s="29"/>
      <c r="B126" s="63"/>
      <c r="C126" s="72"/>
      <c r="D126" s="15" t="s">
        <v>13</v>
      </c>
      <c r="E126" s="16">
        <f>F126+G126+H126+I126+J126+K126+L126</f>
        <v>16080.289999999999</v>
      </c>
      <c r="F126" s="50">
        <f>18733.16-11497.03</f>
        <v>7236.1299999999992</v>
      </c>
      <c r="G126" s="2">
        <f>22817.8-13973.64</f>
        <v>8844.16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1:12" ht="35.25" customHeight="1" x14ac:dyDescent="0.25">
      <c r="A127" s="29"/>
      <c r="B127" s="64"/>
      <c r="C127" s="73"/>
      <c r="D127" s="15" t="s">
        <v>9</v>
      </c>
      <c r="E127" s="16">
        <f t="shared" si="20"/>
        <v>29863.399999999998</v>
      </c>
      <c r="F127" s="50">
        <f>34790.1-21351.57</f>
        <v>13438.529999999999</v>
      </c>
      <c r="G127" s="2">
        <f>42376-25951.13</f>
        <v>16424.87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</row>
    <row r="128" spans="1:12" ht="30" customHeight="1" x14ac:dyDescent="0.25">
      <c r="A128" s="29"/>
      <c r="B128" s="62"/>
      <c r="C128" s="74" t="s">
        <v>106</v>
      </c>
      <c r="D128" s="13" t="s">
        <v>6</v>
      </c>
      <c r="E128" s="16">
        <f t="shared" si="20"/>
        <v>19063</v>
      </c>
      <c r="F128" s="31">
        <f>F129+F130</f>
        <v>8578.35</v>
      </c>
      <c r="G128" s="31">
        <f t="shared" ref="G128:L128" si="24">G129+G130</f>
        <v>10484.650000000001</v>
      </c>
      <c r="H128" s="31">
        <f t="shared" si="24"/>
        <v>0</v>
      </c>
      <c r="I128" s="31">
        <f t="shared" si="24"/>
        <v>0</v>
      </c>
      <c r="J128" s="31">
        <f t="shared" si="24"/>
        <v>0</v>
      </c>
      <c r="K128" s="31">
        <f t="shared" si="24"/>
        <v>0</v>
      </c>
      <c r="L128" s="31">
        <f t="shared" si="24"/>
        <v>0</v>
      </c>
    </row>
    <row r="129" spans="1:12" ht="26.25" customHeight="1" x14ac:dyDescent="0.25">
      <c r="A129" s="29"/>
      <c r="B129" s="63"/>
      <c r="C129" s="75"/>
      <c r="D129" s="15" t="s">
        <v>13</v>
      </c>
      <c r="E129" s="16">
        <f t="shared" si="20"/>
        <v>6672.05</v>
      </c>
      <c r="F129" s="50">
        <f>1627.23+1375.19</f>
        <v>3002.42</v>
      </c>
      <c r="G129" s="2">
        <f>1982.1+1687.53</f>
        <v>3669.63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7.75" customHeight="1" x14ac:dyDescent="0.25">
      <c r="A130" s="29"/>
      <c r="B130" s="64"/>
      <c r="C130" s="76"/>
      <c r="D130" s="15" t="s">
        <v>9</v>
      </c>
      <c r="E130" s="16">
        <f t="shared" si="20"/>
        <v>12390.95</v>
      </c>
      <c r="F130" s="50">
        <f>3022+2553.93</f>
        <v>5575.93</v>
      </c>
      <c r="G130" s="2">
        <f>3681+3134.02</f>
        <v>6815.02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7.75" customHeight="1" x14ac:dyDescent="0.25">
      <c r="A131" s="29"/>
      <c r="B131" s="62"/>
      <c r="C131" s="74" t="s">
        <v>107</v>
      </c>
      <c r="D131" s="13" t="s">
        <v>6</v>
      </c>
      <c r="E131" s="16">
        <f t="shared" si="20"/>
        <v>121284.41</v>
      </c>
      <c r="F131" s="31">
        <f>F132+F133</f>
        <v>54769.69</v>
      </c>
      <c r="G131" s="31">
        <f t="shared" ref="G131:L131" si="25">G132+G133</f>
        <v>66514.720000000001</v>
      </c>
      <c r="H131" s="31">
        <f t="shared" si="25"/>
        <v>0</v>
      </c>
      <c r="I131" s="31">
        <f t="shared" si="25"/>
        <v>0</v>
      </c>
      <c r="J131" s="31">
        <f t="shared" si="25"/>
        <v>0</v>
      </c>
      <c r="K131" s="31">
        <f t="shared" si="25"/>
        <v>0</v>
      </c>
      <c r="L131" s="31">
        <f t="shared" si="25"/>
        <v>0</v>
      </c>
    </row>
    <row r="132" spans="1:12" ht="27.75" customHeight="1" x14ac:dyDescent="0.25">
      <c r="A132" s="29"/>
      <c r="B132" s="63"/>
      <c r="C132" s="75"/>
      <c r="D132" s="15" t="s">
        <v>13</v>
      </c>
      <c r="E132" s="16">
        <f t="shared" si="20"/>
        <v>42449.56</v>
      </c>
      <c r="F132" s="50">
        <f>15447.31+10121.84-6399.75</f>
        <v>19169.400000000001</v>
      </c>
      <c r="G132" s="2">
        <f>18815.5+12286.11-7821.45</f>
        <v>23280.16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ht="27.75" customHeight="1" x14ac:dyDescent="0.25">
      <c r="A133" s="29"/>
      <c r="B133" s="64"/>
      <c r="C133" s="76"/>
      <c r="D133" s="15" t="s">
        <v>9</v>
      </c>
      <c r="E133" s="16">
        <f>F133+G133+H133+I133+J133+K133+L133</f>
        <v>78834.850000000006</v>
      </c>
      <c r="F133" s="50">
        <f>28687.9+18797.64-11885.25</f>
        <v>35600.29</v>
      </c>
      <c r="G133" s="2">
        <f>34943+22817.11-14525.55</f>
        <v>43234.559999999998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</row>
    <row r="134" spans="1:12" ht="27.75" customHeight="1" x14ac:dyDescent="0.25">
      <c r="A134" s="29"/>
      <c r="B134" s="62"/>
      <c r="C134" s="71" t="s">
        <v>113</v>
      </c>
      <c r="D134" s="13" t="s">
        <v>6</v>
      </c>
      <c r="E134" s="16">
        <f>E135+E136</f>
        <v>40632</v>
      </c>
      <c r="F134" s="16">
        <f t="shared" ref="F134:L134" si="26">F135+F136</f>
        <v>18285</v>
      </c>
      <c r="G134" s="16">
        <f t="shared" si="26"/>
        <v>22347</v>
      </c>
      <c r="H134" s="16">
        <f t="shared" si="26"/>
        <v>0</v>
      </c>
      <c r="I134" s="16">
        <f t="shared" si="26"/>
        <v>0</v>
      </c>
      <c r="J134" s="16">
        <f t="shared" si="26"/>
        <v>0</v>
      </c>
      <c r="K134" s="16">
        <f t="shared" si="26"/>
        <v>0</v>
      </c>
      <c r="L134" s="16">
        <f t="shared" si="26"/>
        <v>0</v>
      </c>
    </row>
    <row r="135" spans="1:12" ht="36.75" customHeight="1" x14ac:dyDescent="0.25">
      <c r="A135" s="29"/>
      <c r="B135" s="63"/>
      <c r="C135" s="72"/>
      <c r="D135" s="15" t="s">
        <v>13</v>
      </c>
      <c r="E135" s="16">
        <f>SUM(F135:L135)</f>
        <v>14221.2</v>
      </c>
      <c r="F135" s="50">
        <v>6399.75</v>
      </c>
      <c r="G135" s="2">
        <v>7821.45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</row>
    <row r="136" spans="1:12" ht="36.75" customHeight="1" x14ac:dyDescent="0.25">
      <c r="A136" s="29"/>
      <c r="B136" s="64"/>
      <c r="C136" s="73"/>
      <c r="D136" s="15" t="s">
        <v>9</v>
      </c>
      <c r="E136" s="16">
        <f>SUM(F136:L136)</f>
        <v>26410.799999999999</v>
      </c>
      <c r="F136" s="50">
        <v>11885.25</v>
      </c>
      <c r="G136" s="2">
        <v>14525.55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39.75" customHeight="1" x14ac:dyDescent="0.25">
      <c r="A137" s="29" t="s">
        <v>116</v>
      </c>
      <c r="B137" s="51"/>
      <c r="C137" s="52" t="s">
        <v>114</v>
      </c>
      <c r="D137" s="15" t="s">
        <v>13</v>
      </c>
      <c r="E137" s="16">
        <f t="shared" ref="E137:E140" si="27">SUM(F137:L137)</f>
        <v>4739.2</v>
      </c>
      <c r="F137" s="31">
        <v>0</v>
      </c>
      <c r="G137" s="2">
        <v>4739.2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43.5" customHeight="1" x14ac:dyDescent="0.25">
      <c r="A138" s="29"/>
      <c r="B138" s="51"/>
      <c r="C138" s="52" t="s">
        <v>115</v>
      </c>
      <c r="D138" s="15" t="s">
        <v>13</v>
      </c>
      <c r="E138" s="16">
        <f t="shared" si="27"/>
        <v>2311.4</v>
      </c>
      <c r="F138" s="31">
        <v>0</v>
      </c>
      <c r="G138" s="2">
        <v>2311.4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35.25" customHeight="1" x14ac:dyDescent="0.25">
      <c r="A139" s="29"/>
      <c r="B139" s="51"/>
      <c r="C139" s="52" t="s">
        <v>116</v>
      </c>
      <c r="D139" s="15" t="s">
        <v>13</v>
      </c>
      <c r="E139" s="16">
        <f t="shared" si="27"/>
        <v>5501.1</v>
      </c>
      <c r="F139" s="31">
        <v>0</v>
      </c>
      <c r="G139" s="2">
        <v>5501.1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35.25" customHeight="1" x14ac:dyDescent="0.25">
      <c r="A140" s="29"/>
      <c r="B140" s="51"/>
      <c r="C140" s="53" t="s">
        <v>117</v>
      </c>
      <c r="D140" s="15" t="s">
        <v>13</v>
      </c>
      <c r="E140" s="16">
        <f t="shared" si="27"/>
        <v>13330</v>
      </c>
      <c r="F140" s="31">
        <v>0</v>
      </c>
      <c r="G140" s="2">
        <v>13330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5" customHeight="1" x14ac:dyDescent="0.25">
      <c r="A141" s="77"/>
      <c r="B141" s="78" t="s">
        <v>22</v>
      </c>
      <c r="C141" s="65" t="s">
        <v>23</v>
      </c>
      <c r="D141" s="13" t="s">
        <v>6</v>
      </c>
      <c r="E141" s="14">
        <f>F141+G141+H141+I141+J141+K141+L141</f>
        <v>589950.69999999995</v>
      </c>
      <c r="F141" s="14">
        <f>F142+F143</f>
        <v>87127.6</v>
      </c>
      <c r="G141" s="14">
        <f>G142+G143</f>
        <v>88799.9</v>
      </c>
      <c r="H141" s="14">
        <f>H142+H143</f>
        <v>91900</v>
      </c>
      <c r="I141" s="14">
        <f t="shared" ref="I141:L141" si="28">I142+I143</f>
        <v>80530.799999999988</v>
      </c>
      <c r="J141" s="14">
        <f t="shared" si="28"/>
        <v>80530.799999999988</v>
      </c>
      <c r="K141" s="14">
        <f t="shared" si="28"/>
        <v>80530.799999999988</v>
      </c>
      <c r="L141" s="14">
        <f t="shared" si="28"/>
        <v>80530.799999999988</v>
      </c>
    </row>
    <row r="142" spans="1:12" ht="28.5" x14ac:dyDescent="0.25">
      <c r="A142" s="77"/>
      <c r="B142" s="78"/>
      <c r="C142" s="66"/>
      <c r="D142" s="13" t="s">
        <v>8</v>
      </c>
      <c r="E142" s="14">
        <f>F142+G142+H142+I142+J142+K142+L142</f>
        <v>589791.39999999991</v>
      </c>
      <c r="F142" s="26">
        <f>F144+F145+F146+F148+F150+F151</f>
        <v>87074.5</v>
      </c>
      <c r="G142" s="26">
        <f t="shared" ref="G142:L142" si="29">G144+G145+G146+G148</f>
        <v>88746.799999999988</v>
      </c>
      <c r="H142" s="26">
        <f t="shared" si="29"/>
        <v>91846.9</v>
      </c>
      <c r="I142" s="26">
        <f t="shared" si="29"/>
        <v>80530.799999999988</v>
      </c>
      <c r="J142" s="26">
        <f t="shared" si="29"/>
        <v>80530.799999999988</v>
      </c>
      <c r="K142" s="26">
        <f t="shared" si="29"/>
        <v>80530.799999999988</v>
      </c>
      <c r="L142" s="26">
        <f t="shared" si="29"/>
        <v>80530.799999999988</v>
      </c>
    </row>
    <row r="143" spans="1:12" ht="42.75" x14ac:dyDescent="0.25">
      <c r="A143" s="17"/>
      <c r="B143" s="32"/>
      <c r="C143" s="67"/>
      <c r="D143" s="13" t="s">
        <v>9</v>
      </c>
      <c r="E143" s="14">
        <f t="shared" si="20"/>
        <v>159.30000000000001</v>
      </c>
      <c r="F143" s="26">
        <f>F149</f>
        <v>53.1</v>
      </c>
      <c r="G143" s="26">
        <f t="shared" ref="G143:L143" si="30">G149</f>
        <v>53.1</v>
      </c>
      <c r="H143" s="26">
        <f t="shared" si="30"/>
        <v>53.1</v>
      </c>
      <c r="I143" s="26">
        <f t="shared" si="30"/>
        <v>0</v>
      </c>
      <c r="J143" s="26">
        <f t="shared" si="30"/>
        <v>0</v>
      </c>
      <c r="K143" s="26">
        <f t="shared" si="30"/>
        <v>0</v>
      </c>
      <c r="L143" s="26">
        <f t="shared" si="30"/>
        <v>0</v>
      </c>
    </row>
    <row r="144" spans="1:12" ht="30" customHeight="1" x14ac:dyDescent="0.25">
      <c r="A144" s="17"/>
      <c r="B144" s="27"/>
      <c r="C144" s="19" t="s">
        <v>24</v>
      </c>
      <c r="D144" s="15" t="s">
        <v>13</v>
      </c>
      <c r="E144" s="16">
        <f t="shared" si="20"/>
        <v>152274.4</v>
      </c>
      <c r="F144" s="16">
        <f>21074.9+160</f>
        <v>21234.9</v>
      </c>
      <c r="G144" s="16">
        <v>21713.7</v>
      </c>
      <c r="H144" s="16">
        <v>22520.2</v>
      </c>
      <c r="I144" s="16">
        <v>21701.4</v>
      </c>
      <c r="J144" s="16">
        <v>21701.4</v>
      </c>
      <c r="K144" s="16">
        <v>21701.4</v>
      </c>
      <c r="L144" s="16">
        <v>21701.4</v>
      </c>
    </row>
    <row r="145" spans="1:12" ht="29.25" customHeight="1" x14ac:dyDescent="0.25">
      <c r="A145" s="17"/>
      <c r="B145" s="27"/>
      <c r="C145" s="19" t="s">
        <v>25</v>
      </c>
      <c r="D145" s="15" t="s">
        <v>13</v>
      </c>
      <c r="E145" s="16">
        <f t="shared" si="20"/>
        <v>16230</v>
      </c>
      <c r="F145" s="16">
        <f>5500-270</f>
        <v>5230</v>
      </c>
      <c r="G145" s="16">
        <v>5500</v>
      </c>
      <c r="H145" s="16">
        <v>5500</v>
      </c>
      <c r="I145" s="16">
        <v>0</v>
      </c>
      <c r="J145" s="16">
        <v>0</v>
      </c>
      <c r="K145" s="16">
        <v>0</v>
      </c>
      <c r="L145" s="16">
        <v>0</v>
      </c>
    </row>
    <row r="146" spans="1:12" ht="33.75" customHeight="1" x14ac:dyDescent="0.25">
      <c r="A146" s="17"/>
      <c r="B146" s="27"/>
      <c r="C146" s="19" t="s">
        <v>59</v>
      </c>
      <c r="D146" s="15" t="s">
        <v>13</v>
      </c>
      <c r="E146" s="16">
        <f t="shared" si="20"/>
        <v>339383</v>
      </c>
      <c r="F146" s="16">
        <v>48889.4</v>
      </c>
      <c r="G146" s="16">
        <v>50404.5</v>
      </c>
      <c r="H146" s="16">
        <v>52323.1</v>
      </c>
      <c r="I146" s="16">
        <v>46941.5</v>
      </c>
      <c r="J146" s="16">
        <v>46941.5</v>
      </c>
      <c r="K146" s="16">
        <v>46941.5</v>
      </c>
      <c r="L146" s="16">
        <v>46941.5</v>
      </c>
    </row>
    <row r="147" spans="1:12" ht="33.75" customHeight="1" x14ac:dyDescent="0.25">
      <c r="A147" s="17"/>
      <c r="B147" s="62"/>
      <c r="C147" s="59" t="s">
        <v>26</v>
      </c>
      <c r="D147" s="13" t="s">
        <v>6</v>
      </c>
      <c r="E147" s="16">
        <f t="shared" si="20"/>
        <v>81534.599999999991</v>
      </c>
      <c r="F147" s="16">
        <f>F148+F149</f>
        <v>11244.6</v>
      </c>
      <c r="G147" s="16">
        <f>G148+G149</f>
        <v>11181.699999999999</v>
      </c>
      <c r="H147" s="16">
        <f>H148+H149</f>
        <v>11556.699999999999</v>
      </c>
      <c r="I147" s="16">
        <f t="shared" ref="I147:L147" si="31">I148+I149</f>
        <v>11887.9</v>
      </c>
      <c r="J147" s="16">
        <f t="shared" si="31"/>
        <v>11887.9</v>
      </c>
      <c r="K147" s="16">
        <f t="shared" si="31"/>
        <v>11887.9</v>
      </c>
      <c r="L147" s="16">
        <f t="shared" si="31"/>
        <v>11887.9</v>
      </c>
    </row>
    <row r="148" spans="1:12" ht="33.75" customHeight="1" x14ac:dyDescent="0.25">
      <c r="A148" s="17"/>
      <c r="B148" s="63"/>
      <c r="C148" s="60"/>
      <c r="D148" s="15" t="s">
        <v>13</v>
      </c>
      <c r="E148" s="16">
        <f t="shared" si="20"/>
        <v>81375.299999999988</v>
      </c>
      <c r="F148" s="33">
        <f>10833+358.5</f>
        <v>11191.5</v>
      </c>
      <c r="G148" s="33">
        <f>11125.8+2.8</f>
        <v>11128.599999999999</v>
      </c>
      <c r="H148" s="33">
        <f>11500.8+2.8</f>
        <v>11503.599999999999</v>
      </c>
      <c r="I148" s="33">
        <v>11887.9</v>
      </c>
      <c r="J148" s="33">
        <v>11887.9</v>
      </c>
      <c r="K148" s="33">
        <v>11887.9</v>
      </c>
      <c r="L148" s="33">
        <v>11887.9</v>
      </c>
    </row>
    <row r="149" spans="1:12" ht="47.25" customHeight="1" x14ac:dyDescent="0.25">
      <c r="A149" s="17"/>
      <c r="B149" s="64"/>
      <c r="C149" s="61"/>
      <c r="D149" s="15" t="s">
        <v>9</v>
      </c>
      <c r="E149" s="16">
        <f t="shared" si="20"/>
        <v>159.30000000000001</v>
      </c>
      <c r="F149" s="33">
        <v>53.1</v>
      </c>
      <c r="G149" s="33">
        <v>53.1</v>
      </c>
      <c r="H149" s="33">
        <v>53.1</v>
      </c>
      <c r="I149" s="16">
        <v>0</v>
      </c>
      <c r="J149" s="16">
        <v>0</v>
      </c>
      <c r="K149" s="16">
        <v>0</v>
      </c>
      <c r="L149" s="16">
        <v>0</v>
      </c>
    </row>
    <row r="150" spans="1:12" s="36" customFormat="1" ht="31.5" customHeight="1" x14ac:dyDescent="0.25">
      <c r="A150" s="34"/>
      <c r="B150" s="18"/>
      <c r="C150" s="35" t="s">
        <v>102</v>
      </c>
      <c r="D150" s="15" t="s">
        <v>13</v>
      </c>
      <c r="E150" s="16">
        <f t="shared" si="20"/>
        <v>258.7</v>
      </c>
      <c r="F150" s="33">
        <v>258.7</v>
      </c>
      <c r="G150" s="33">
        <v>0</v>
      </c>
      <c r="H150" s="33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36" customHeight="1" x14ac:dyDescent="0.25">
      <c r="A151" s="37"/>
      <c r="B151" s="38"/>
      <c r="C151" s="39" t="s">
        <v>108</v>
      </c>
      <c r="D151" s="15" t="s">
        <v>13</v>
      </c>
      <c r="E151" s="16">
        <f t="shared" si="20"/>
        <v>270</v>
      </c>
      <c r="F151" s="40">
        <v>270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x14ac:dyDescent="0.25">
      <c r="A152" s="3"/>
      <c r="B152" s="4"/>
      <c r="C152" s="3"/>
      <c r="D152" s="3"/>
      <c r="E152" s="3"/>
      <c r="F152" s="3"/>
      <c r="G152" s="3"/>
      <c r="H152" s="3"/>
      <c r="I152" s="3"/>
      <c r="J152" s="41"/>
      <c r="K152" s="41"/>
      <c r="L152" s="41"/>
    </row>
    <row r="153" spans="1:12" ht="18.75" x14ac:dyDescent="0.3">
      <c r="A153" s="42"/>
      <c r="B153" s="43"/>
      <c r="C153" s="42"/>
      <c r="D153" s="42"/>
      <c r="E153" s="42"/>
      <c r="F153" s="42"/>
      <c r="G153" s="42"/>
      <c r="H153" s="42"/>
      <c r="I153" s="42"/>
      <c r="J153" s="44"/>
      <c r="K153" s="44"/>
      <c r="L153" s="44"/>
    </row>
  </sheetData>
  <mergeCells count="52">
    <mergeCell ref="C134:C136"/>
    <mergeCell ref="B134:B136"/>
    <mergeCell ref="B117:B119"/>
    <mergeCell ref="B57:B59"/>
    <mergeCell ref="C131:C133"/>
    <mergeCell ref="A12:A15"/>
    <mergeCell ref="A5:A6"/>
    <mergeCell ref="B5:B6"/>
    <mergeCell ref="C5:C6"/>
    <mergeCell ref="D5:D6"/>
    <mergeCell ref="A8:A11"/>
    <mergeCell ref="B8:B11"/>
    <mergeCell ref="C8:C11"/>
    <mergeCell ref="E5:L5"/>
    <mergeCell ref="I2:L2"/>
    <mergeCell ref="A3:L3"/>
    <mergeCell ref="A4:C4"/>
    <mergeCell ref="D4:L4"/>
    <mergeCell ref="I1:J1"/>
    <mergeCell ref="K1:L1"/>
    <mergeCell ref="C32:C34"/>
    <mergeCell ref="B32:B34"/>
    <mergeCell ref="C37:C39"/>
    <mergeCell ref="B37:B39"/>
    <mergeCell ref="C12:C15"/>
    <mergeCell ref="B12:B15"/>
    <mergeCell ref="A141:A142"/>
    <mergeCell ref="B141:B142"/>
    <mergeCell ref="A49:A52"/>
    <mergeCell ref="B49:B52"/>
    <mergeCell ref="A98:A101"/>
    <mergeCell ref="B53:B56"/>
    <mergeCell ref="B131:B133"/>
    <mergeCell ref="B128:B130"/>
    <mergeCell ref="B125:B127"/>
    <mergeCell ref="B120:B122"/>
    <mergeCell ref="C49:C52"/>
    <mergeCell ref="C147:C149"/>
    <mergeCell ref="B147:B149"/>
    <mergeCell ref="C57:C59"/>
    <mergeCell ref="C141:C143"/>
    <mergeCell ref="C77:C80"/>
    <mergeCell ref="C117:C119"/>
    <mergeCell ref="B98:B101"/>
    <mergeCell ref="C98:C101"/>
    <mergeCell ref="C60:C63"/>
    <mergeCell ref="B60:B63"/>
    <mergeCell ref="C53:C56"/>
    <mergeCell ref="C72:C74"/>
    <mergeCell ref="C125:C127"/>
    <mergeCell ref="C128:C130"/>
    <mergeCell ref="C120:C122"/>
  </mergeCells>
  <phoneticPr fontId="12" type="noConversion"/>
  <pageMargins left="0.39370078740157483" right="0.39370078740157483" top="0.94488188976377963" bottom="0.55118110236220474" header="0.31496062992125984" footer="0.15748031496062992"/>
  <pageSetup paperSize="9" scale="52" orientation="landscape" r:id="rId1"/>
  <rowBreaks count="2" manualBreakCount="2">
    <brk id="92" min="1" max="11" man="1"/>
    <brk id="11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</vt:lpstr>
      <vt:lpstr>Проект!Заголовки_для_печати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2020-07-06T08:08:40Z</dcterms:modified>
</cp:coreProperties>
</file>