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июнь" sheetId="36" r:id="rId1"/>
  </sheets>
  <definedNames>
    <definedName name="_xlnm.Print_Titles" localSheetId="0">июнь!$5:$7</definedName>
    <definedName name="_xlnm.Print_Area" localSheetId="0">июнь!$A$1:$L$172</definedName>
  </definedNames>
  <calcPr calcId="152511"/>
</workbook>
</file>

<file path=xl/calcChain.xml><?xml version="1.0" encoding="utf-8"?>
<calcChain xmlns="http://schemas.openxmlformats.org/spreadsheetml/2006/main">
  <c r="E172" i="36" l="1"/>
  <c r="E163" i="36"/>
  <c r="L23" i="36" l="1"/>
  <c r="K23" i="36"/>
  <c r="J23" i="36"/>
  <c r="L33" i="36"/>
  <c r="K33" i="36"/>
  <c r="J33" i="36"/>
  <c r="L36" i="36"/>
  <c r="K36" i="36"/>
  <c r="J36" i="36"/>
  <c r="L133" i="36" l="1"/>
  <c r="L132" i="36"/>
  <c r="L14" i="36"/>
  <c r="K14" i="36"/>
  <c r="K9" i="36" s="1"/>
  <c r="L162" i="36"/>
  <c r="K162" i="36"/>
  <c r="K132" i="36"/>
  <c r="L44" i="36"/>
  <c r="J163" i="36"/>
  <c r="J162" i="36"/>
  <c r="J132" i="36"/>
  <c r="J14" i="36"/>
  <c r="J9" i="36" s="1"/>
  <c r="L9" i="36" l="1"/>
  <c r="L131" i="36"/>
  <c r="K171" i="36"/>
  <c r="J171" i="36"/>
  <c r="I164" i="36" l="1"/>
  <c r="I165" i="36" l="1"/>
  <c r="I58" i="36" l="1"/>
  <c r="I14" i="36" l="1"/>
  <c r="I171" i="36"/>
  <c r="I147" i="36" l="1"/>
  <c r="I70" i="36"/>
  <c r="I83" i="36"/>
  <c r="I28" i="36"/>
  <c r="I123" i="36"/>
  <c r="I107" i="36"/>
  <c r="E129" i="36" l="1"/>
  <c r="I20" i="36"/>
  <c r="E128" i="36" l="1"/>
  <c r="I109" i="36"/>
  <c r="I106" i="36"/>
  <c r="I90" i="36"/>
  <c r="I97" i="36" l="1"/>
  <c r="I68" i="36" l="1"/>
  <c r="J16" i="36" l="1"/>
  <c r="J11" i="36" s="1"/>
  <c r="I125" i="36"/>
  <c r="J125" i="36"/>
  <c r="E125" i="36" s="1"/>
  <c r="J91" i="36"/>
  <c r="I91" i="36"/>
  <c r="I163" i="36" l="1"/>
  <c r="J167" i="36"/>
  <c r="E170" i="36" l="1"/>
  <c r="E167" i="36"/>
  <c r="E122" i="36"/>
  <c r="E121" i="36"/>
  <c r="E105" i="36"/>
  <c r="E104" i="36"/>
  <c r="E103" i="36"/>
  <c r="I159" i="36" l="1"/>
  <c r="I63" i="36"/>
  <c r="I86" i="36" l="1"/>
  <c r="J161" i="36" l="1"/>
  <c r="H171" i="36"/>
  <c r="G171" i="36"/>
  <c r="F171" i="36"/>
  <c r="E171" i="36" s="1"/>
  <c r="I16" i="36" l="1"/>
  <c r="K161" i="36" l="1"/>
  <c r="L163" i="36"/>
  <c r="K163" i="36"/>
  <c r="H163" i="36"/>
  <c r="G163" i="36"/>
  <c r="F163" i="36"/>
  <c r="L161" i="36" l="1"/>
  <c r="K135" i="36" l="1"/>
  <c r="K133" i="36"/>
  <c r="K108" i="36"/>
  <c r="K102" i="36"/>
  <c r="K80" i="36"/>
  <c r="K77" i="36"/>
  <c r="K73" i="36"/>
  <c r="K69" i="36"/>
  <c r="K62" i="36"/>
  <c r="K52" i="36"/>
  <c r="K49" i="36"/>
  <c r="K44" i="36"/>
  <c r="K39" i="36"/>
  <c r="K19" i="36"/>
  <c r="K16" i="36"/>
  <c r="K11" i="36" s="1"/>
  <c r="K15" i="36" l="1"/>
  <c r="K10" i="36" s="1"/>
  <c r="K131" i="36"/>
  <c r="J85" i="36"/>
  <c r="I87" i="36"/>
  <c r="E88" i="36"/>
  <c r="G85" i="36"/>
  <c r="F85" i="36"/>
  <c r="H86" i="36"/>
  <c r="H85" i="36" s="1"/>
  <c r="J124" i="36"/>
  <c r="E124" i="36" s="1"/>
  <c r="E126" i="36"/>
  <c r="E119" i="36"/>
  <c r="E118" i="36"/>
  <c r="J116" i="36"/>
  <c r="I116" i="36"/>
  <c r="H116" i="36"/>
  <c r="G116" i="36"/>
  <c r="F116" i="36"/>
  <c r="J112" i="36"/>
  <c r="I112" i="36"/>
  <c r="H112" i="36"/>
  <c r="G112" i="36"/>
  <c r="F112" i="36"/>
  <c r="F108" i="36"/>
  <c r="G108" i="36"/>
  <c r="H108" i="36"/>
  <c r="I108" i="36"/>
  <c r="J108" i="36"/>
  <c r="E109" i="36"/>
  <c r="E115" i="36"/>
  <c r="E114" i="36"/>
  <c r="E111" i="36"/>
  <c r="E110" i="36"/>
  <c r="L108" i="36"/>
  <c r="I53" i="36"/>
  <c r="E87" i="36" l="1"/>
  <c r="I85" i="36"/>
  <c r="E86" i="36"/>
  <c r="K13" i="36"/>
  <c r="K8" i="36"/>
  <c r="E85" i="36"/>
  <c r="E108" i="36"/>
  <c r="E112" i="36"/>
  <c r="E116" i="36"/>
  <c r="I80" i="36" l="1"/>
  <c r="I166" i="36"/>
  <c r="I162" i="36" s="1"/>
  <c r="I161" i="36" s="1"/>
  <c r="I59" i="36"/>
  <c r="F52" i="36"/>
  <c r="G52" i="36"/>
  <c r="H52" i="36"/>
  <c r="I52" i="36"/>
  <c r="L52" i="36"/>
  <c r="J52" i="36"/>
  <c r="E57" i="36"/>
  <c r="E58" i="36"/>
  <c r="E123" i="36" l="1"/>
  <c r="E154" i="36" l="1"/>
  <c r="E155" i="36"/>
  <c r="E157" i="36"/>
  <c r="E156" i="36"/>
  <c r="E152" i="36"/>
  <c r="E120" i="36"/>
  <c r="I150" i="36"/>
  <c r="I132" i="36" s="1"/>
  <c r="I89" i="36"/>
  <c r="E89" i="36" s="1"/>
  <c r="G169" i="36"/>
  <c r="E169" i="36" s="1"/>
  <c r="G168" i="36"/>
  <c r="F168" i="36"/>
  <c r="G166" i="36"/>
  <c r="F166" i="36"/>
  <c r="H165" i="36"/>
  <c r="G165" i="36"/>
  <c r="F165" i="36"/>
  <c r="H164" i="36"/>
  <c r="G164" i="36"/>
  <c r="F164" i="36"/>
  <c r="E159" i="36"/>
  <c r="E151" i="36"/>
  <c r="H150" i="36"/>
  <c r="G149" i="36"/>
  <c r="E149" i="36" s="1"/>
  <c r="E148" i="36"/>
  <c r="G147" i="36"/>
  <c r="F147" i="36"/>
  <c r="F146" i="36"/>
  <c r="F133" i="36" s="1"/>
  <c r="F145" i="36"/>
  <c r="E145" i="36" s="1"/>
  <c r="I144" i="36"/>
  <c r="H144" i="36"/>
  <c r="G144" i="36"/>
  <c r="F142" i="36"/>
  <c r="E142" i="36" s="1"/>
  <c r="F141" i="36"/>
  <c r="E141" i="36" s="1"/>
  <c r="H140" i="36"/>
  <c r="F140" i="36"/>
  <c r="G139" i="36"/>
  <c r="F139" i="36"/>
  <c r="H138" i="36"/>
  <c r="G138" i="36"/>
  <c r="F138" i="36"/>
  <c r="E137" i="36"/>
  <c r="G136" i="36"/>
  <c r="F136" i="36"/>
  <c r="L135" i="36"/>
  <c r="J135" i="36"/>
  <c r="I135" i="36"/>
  <c r="H135" i="36"/>
  <c r="F134" i="36"/>
  <c r="E134" i="36" s="1"/>
  <c r="J133" i="36"/>
  <c r="I133" i="36"/>
  <c r="H133" i="36"/>
  <c r="G133" i="36"/>
  <c r="E117" i="36"/>
  <c r="E113" i="36"/>
  <c r="E107" i="36"/>
  <c r="E106" i="36"/>
  <c r="J102" i="36"/>
  <c r="I102" i="36"/>
  <c r="H102" i="36"/>
  <c r="G102" i="36"/>
  <c r="F102" i="36"/>
  <c r="E101" i="36"/>
  <c r="I99" i="36"/>
  <c r="H99" i="36"/>
  <c r="E98" i="36"/>
  <c r="H97" i="36"/>
  <c r="E97" i="36" s="1"/>
  <c r="E96" i="36"/>
  <c r="H95" i="36"/>
  <c r="E95" i="36" s="1"/>
  <c r="H94" i="36"/>
  <c r="E94" i="36" s="1"/>
  <c r="H93" i="36"/>
  <c r="E93" i="36" s="1"/>
  <c r="E92" i="36"/>
  <c r="E91" i="36"/>
  <c r="H90" i="36"/>
  <c r="E90" i="36" s="1"/>
  <c r="G84" i="36"/>
  <c r="E84" i="36" s="1"/>
  <c r="H83" i="36"/>
  <c r="H80" i="36" s="1"/>
  <c r="E82" i="36"/>
  <c r="E81" i="36"/>
  <c r="L80" i="36"/>
  <c r="J80" i="36"/>
  <c r="G80" i="36"/>
  <c r="F80" i="36"/>
  <c r="G79" i="36"/>
  <c r="E79" i="36" s="1"/>
  <c r="H78" i="36"/>
  <c r="H77" i="36" s="1"/>
  <c r="G78" i="36"/>
  <c r="L77" i="36"/>
  <c r="J77" i="36"/>
  <c r="I77" i="36"/>
  <c r="F77" i="36"/>
  <c r="E76" i="36"/>
  <c r="E75" i="36"/>
  <c r="H74" i="36"/>
  <c r="E74" i="36" s="1"/>
  <c r="L73" i="36"/>
  <c r="J73" i="36"/>
  <c r="I73" i="36"/>
  <c r="G73" i="36"/>
  <c r="F73" i="36"/>
  <c r="E72" i="36"/>
  <c r="E71" i="36"/>
  <c r="H70" i="36"/>
  <c r="H69" i="36" s="1"/>
  <c r="G70" i="36"/>
  <c r="L69" i="36"/>
  <c r="J69" i="36"/>
  <c r="I69" i="36"/>
  <c r="F69" i="36"/>
  <c r="H68" i="36"/>
  <c r="G68" i="36"/>
  <c r="H67" i="36"/>
  <c r="G67" i="36"/>
  <c r="F67" i="36"/>
  <c r="H66" i="36"/>
  <c r="G66" i="36"/>
  <c r="H65" i="36"/>
  <c r="E65" i="36" s="1"/>
  <c r="E64" i="36"/>
  <c r="I62" i="36"/>
  <c r="H63" i="36"/>
  <c r="G63" i="36"/>
  <c r="L62" i="36"/>
  <c r="J62" i="36"/>
  <c r="F62" i="36"/>
  <c r="H61" i="36"/>
  <c r="E61" i="36" s="1"/>
  <c r="F60" i="36"/>
  <c r="E60" i="36" s="1"/>
  <c r="H59" i="36"/>
  <c r="G59" i="36"/>
  <c r="F59" i="36"/>
  <c r="G56" i="36"/>
  <c r="E56" i="36" s="1"/>
  <c r="G55" i="36"/>
  <c r="E55" i="36" s="1"/>
  <c r="G54" i="36"/>
  <c r="E54" i="36" s="1"/>
  <c r="E53" i="36"/>
  <c r="E52" i="36" s="1"/>
  <c r="H51" i="36"/>
  <c r="E51" i="36" s="1"/>
  <c r="H50" i="36"/>
  <c r="E50" i="36" s="1"/>
  <c r="L49" i="36"/>
  <c r="J49" i="36"/>
  <c r="I49" i="36"/>
  <c r="G49" i="36"/>
  <c r="F49" i="36"/>
  <c r="E48" i="36"/>
  <c r="E47" i="36"/>
  <c r="F46" i="36"/>
  <c r="J15" i="36"/>
  <c r="I45" i="36"/>
  <c r="I15" i="36" s="1"/>
  <c r="H45" i="36"/>
  <c r="G44" i="36"/>
  <c r="F43" i="36"/>
  <c r="E43" i="36" s="1"/>
  <c r="F42" i="36"/>
  <c r="E42" i="36" s="1"/>
  <c r="E41" i="36"/>
  <c r="J40" i="36"/>
  <c r="I40" i="36"/>
  <c r="H40" i="36"/>
  <c r="H39" i="36" s="1"/>
  <c r="F40" i="36"/>
  <c r="F39" i="36" s="1"/>
  <c r="L39" i="36"/>
  <c r="G39" i="36"/>
  <c r="G38" i="36"/>
  <c r="G37" i="36"/>
  <c r="F37" i="36"/>
  <c r="F36" i="36" s="1"/>
  <c r="I36" i="36"/>
  <c r="H36" i="36"/>
  <c r="G35" i="36"/>
  <c r="E35" i="36" s="1"/>
  <c r="G34" i="36"/>
  <c r="F34" i="36"/>
  <c r="I33" i="36"/>
  <c r="H33" i="36"/>
  <c r="G32" i="36"/>
  <c r="F32" i="36"/>
  <c r="F31" i="36"/>
  <c r="E31" i="36" s="1"/>
  <c r="F30" i="36"/>
  <c r="E30" i="36" s="1"/>
  <c r="F29" i="36"/>
  <c r="E29" i="36" s="1"/>
  <c r="F28" i="36"/>
  <c r="E28" i="36" s="1"/>
  <c r="F27" i="36"/>
  <c r="E27" i="36" s="1"/>
  <c r="F26" i="36"/>
  <c r="E26" i="36" s="1"/>
  <c r="F25" i="36"/>
  <c r="E25" i="36" s="1"/>
  <c r="F24" i="36"/>
  <c r="I23" i="36"/>
  <c r="H23" i="36"/>
  <c r="G23" i="36"/>
  <c r="F22" i="36"/>
  <c r="E22" i="36" s="1"/>
  <c r="E21" i="36"/>
  <c r="H20" i="36"/>
  <c r="H19" i="36" s="1"/>
  <c r="F20" i="36"/>
  <c r="L19" i="36"/>
  <c r="J19" i="36"/>
  <c r="I19" i="36"/>
  <c r="G19" i="36"/>
  <c r="F18" i="36"/>
  <c r="E18" i="36" s="1"/>
  <c r="F17" i="36"/>
  <c r="E17" i="36" s="1"/>
  <c r="L16" i="36"/>
  <c r="L11" i="36" s="1"/>
  <c r="I11" i="36"/>
  <c r="F15" i="36"/>
  <c r="I9" i="36" l="1"/>
  <c r="I10" i="36"/>
  <c r="E166" i="36"/>
  <c r="H162" i="36"/>
  <c r="H161" i="36" s="1"/>
  <c r="E165" i="36"/>
  <c r="E80" i="36"/>
  <c r="E102" i="36"/>
  <c r="E164" i="36"/>
  <c r="F162" i="36"/>
  <c r="F161" i="36" s="1"/>
  <c r="E168" i="36"/>
  <c r="J44" i="36"/>
  <c r="J10" i="36"/>
  <c r="J8" i="36" s="1"/>
  <c r="G162" i="36"/>
  <c r="F132" i="36"/>
  <c r="F131" i="36" s="1"/>
  <c r="E99" i="36"/>
  <c r="E37" i="36"/>
  <c r="I13" i="36"/>
  <c r="H73" i="36"/>
  <c r="E73" i="36" s="1"/>
  <c r="E140" i="36"/>
  <c r="H15" i="36"/>
  <c r="H10" i="36" s="1"/>
  <c r="G62" i="36"/>
  <c r="F10" i="36"/>
  <c r="G77" i="36"/>
  <c r="E77" i="36" s="1"/>
  <c r="L15" i="36"/>
  <c r="L10" i="36" s="1"/>
  <c r="L8" i="36" s="1"/>
  <c r="H132" i="36"/>
  <c r="H131" i="36" s="1"/>
  <c r="H62" i="36"/>
  <c r="F19" i="36"/>
  <c r="E19" i="36" s="1"/>
  <c r="G36" i="36"/>
  <c r="E36" i="36" s="1"/>
  <c r="E139" i="36"/>
  <c r="E146" i="36"/>
  <c r="G16" i="36"/>
  <c r="G11" i="36" s="1"/>
  <c r="H16" i="36"/>
  <c r="H11" i="36" s="1"/>
  <c r="E32" i="36"/>
  <c r="E67" i="36"/>
  <c r="E66" i="36"/>
  <c r="E70" i="36"/>
  <c r="E83" i="36"/>
  <c r="F135" i="36"/>
  <c r="I131" i="36"/>
  <c r="H44" i="36"/>
  <c r="E147" i="36"/>
  <c r="E150" i="36"/>
  <c r="G15" i="36"/>
  <c r="G10" i="36" s="1"/>
  <c r="G33" i="36"/>
  <c r="I39" i="36"/>
  <c r="G69" i="36"/>
  <c r="E69" i="36" s="1"/>
  <c r="E136" i="36"/>
  <c r="E153" i="36"/>
  <c r="E20" i="36"/>
  <c r="E38" i="36"/>
  <c r="J39" i="36"/>
  <c r="H49" i="36"/>
  <c r="E49" i="36" s="1"/>
  <c r="E78" i="36"/>
  <c r="E133" i="36"/>
  <c r="E158" i="36"/>
  <c r="E46" i="36"/>
  <c r="F16" i="36"/>
  <c r="F14" i="36"/>
  <c r="E14" i="36" s="1"/>
  <c r="E24" i="36"/>
  <c r="F23" i="36"/>
  <c r="E23" i="36" s="1"/>
  <c r="I44" i="36"/>
  <c r="E45" i="36"/>
  <c r="H14" i="36"/>
  <c r="G14" i="36"/>
  <c r="E34" i="36"/>
  <c r="F33" i="36"/>
  <c r="E40" i="36"/>
  <c r="E63" i="36"/>
  <c r="G135" i="36"/>
  <c r="F44" i="36"/>
  <c r="E59" i="36"/>
  <c r="E68" i="36"/>
  <c r="G132" i="36"/>
  <c r="G131" i="36" s="1"/>
  <c r="E138" i="36"/>
  <c r="F144" i="36"/>
  <c r="E144" i="36" s="1"/>
  <c r="E162" i="36" l="1"/>
  <c r="J131" i="36"/>
  <c r="E131" i="36" s="1"/>
  <c r="H9" i="36"/>
  <c r="H8" i="36" s="1"/>
  <c r="G9" i="36"/>
  <c r="G8" i="36" s="1"/>
  <c r="G161" i="36"/>
  <c r="E161" i="36" s="1"/>
  <c r="F9" i="36"/>
  <c r="L13" i="36"/>
  <c r="E135" i="36"/>
  <c r="E62" i="36"/>
  <c r="E39" i="36"/>
  <c r="E33" i="36"/>
  <c r="E44" i="36"/>
  <c r="E10" i="36"/>
  <c r="E15" i="36"/>
  <c r="J13" i="36"/>
  <c r="F11" i="36"/>
  <c r="E11" i="36" s="1"/>
  <c r="E16" i="36"/>
  <c r="G13" i="36"/>
  <c r="H13" i="36"/>
  <c r="E132" i="36"/>
  <c r="I8" i="36"/>
  <c r="F13" i="36"/>
  <c r="E9" i="36" l="1"/>
  <c r="E13" i="36"/>
  <c r="F8" i="36"/>
  <c r="E8" i="36" l="1"/>
</calcChain>
</file>

<file path=xl/sharedStrings.xml><?xml version="1.0" encoding="utf-8"?>
<sst xmlns="http://schemas.openxmlformats.org/spreadsheetml/2006/main" count="285" uniqueCount="122">
  <si>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</si>
  <si>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</si>
  <si>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</si>
  <si>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</si>
  <si>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</si>
  <si>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</si>
  <si>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</si>
  <si>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</si>
  <si>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</si>
  <si>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</si>
  <si>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</si>
  <si>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</si>
  <si>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</si>
  <si>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</si>
  <si>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</si>
  <si>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</si>
  <si>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</si>
  <si>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</si>
  <si>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</si>
  <si>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</si>
  <si>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</si>
  <si>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</si>
  <si>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</si>
  <si>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</si>
  <si>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</si>
  <si>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</si>
  <si>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</si>
  <si>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</si>
  <si>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</si>
  <si>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</si>
  <si>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</si>
  <si>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</si>
  <si>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</si>
  <si>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</si>
  <si>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</si>
  <si>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</si>
  <si>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</si>
  <si>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</si>
  <si>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</si>
  <si>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</si>
  <si>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</si>
  <si>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</si>
  <si>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</si>
  <si>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</si>
  <si>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</si>
  <si>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</si>
  <si>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</si>
  <si>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</si>
  <si>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</si>
  <si>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</si>
  <si>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</si>
  <si>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</si>
  <si>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</si>
  <si>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</si>
  <si>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</si>
  <si>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</si>
  <si>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</si>
  <si>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</si>
  <si>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</si>
  <si>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</si>
  <si>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</si>
  <si>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</si>
  <si>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</si>
  <si>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</si>
  <si>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</si>
  <si>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</si>
  <si>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</si>
  <si>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</si>
  <si>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</si>
  <si>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</si>
  <si>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</si>
  <si>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</si>
  <si>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</si>
  <si>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</si>
  <si>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</si>
  <si>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</si>
  <si>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</si>
  <si>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</si>
  <si>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Строительство школы в 6 мкр. "Арбеково", г. Пенза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</si>
  <si>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</si>
  <si>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</si>
  <si>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</si>
  <si>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</si>
  <si>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Внутриквартальная дорога в мкр. №6 "Заря-1" севернее ул.Магистральная, г.Пенза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</si>
  <si>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</si>
  <si>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</si>
  <si>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</si>
  <si>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Установление (изменению) границы городского округа - город Пенза и земель населенного пункта в его границах</t>
  </si>
  <si>
    <t>Подготовка документации по внесению изменений в генеральный план и правила землепользования и застройки г.Пензы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</si>
  <si>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</si>
  <si>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</si>
  <si>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</si>
  <si>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</si>
  <si>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</si>
  <si>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Площадь имени В.И. Ленина г.Пенза</t>
  </si>
  <si>
    <t>Школа в мкр. №3 третьей очереди строительства жилого района "Арбеково", г. Пенза</t>
  </si>
  <si>
    <t>Автомобильная дорога по ул. Чкалова, г. Пенза</t>
  </si>
  <si>
    <t>Автомобильная дорога по ул. Попова, г. Пенза</t>
  </si>
  <si>
    <t>Сквер «Пионерский»,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</si>
  <si>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</si>
  <si>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</si>
  <si>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 2 детского сада по ул. Депутатская, 5, г. Пенза</t>
  </si>
  <si>
    <t>Фонтан по ул. Московская с благоустройством прилегающих территорий, г. Пенза</t>
  </si>
  <si>
    <t>Территория, прилегающая к Спасскому кафедральному собору, г.Пенза</t>
  </si>
  <si>
    <t>Автомобильная дорога по ул.Байдукова, г.Пенза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</si>
  <si>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</si>
  <si>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Автомобильная дорога по ул.Чаадаева на участке от ул.Чапаева до транспортной развязки к ФАД М-5 "Урал", г.Пенза</t>
  </si>
  <si>
    <t>Реконструкция ул. Антонова, г. Пенза</t>
  </si>
  <si>
    <t>Корпус №2  детского сада по ул.Набережная реки Мойки, 41А,  г.Пенза</t>
  </si>
  <si>
    <t>Детский сад по ул.Лазо, 4,  г.Пенза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</si>
  <si>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2015-2021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</si>
  <si>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2015-2021 годы» за счет всех источников финансирования</t>
  </si>
  <si>
    <t>2021 г.</t>
  </si>
  <si>
    <t>в т.ч.бюджет города Пензы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</si>
  <si>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</si>
  <si>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</si>
  <si>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Жилой дом для маневренного жилищного фонда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</si>
  <si>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</si>
  <si>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Мост через реку Мойка по ул.Батайская, г.Пенза</t>
  </si>
  <si>
    <t>Автодорога,расположенная западнее микрорайона №6 3-й очереди строительства жилого района Арбеково</t>
  </si>
  <si>
    <t>Развитие территорий, социальной и инженерной инфраструктуры города Пензы на 2015-2021 годы</t>
  </si>
  <si>
    <t>Приложение № 2 к Постановлению администрации города Пензы                         от 04.03.2019 № 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</si>
</sst>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?_р_._-;_-@_-"/>
    <numFmt numFmtId="166" formatCode="_-* #,##0.000_р_._-;\-* #,##0.000_р_._-;_-* &quot;-&quot;??_р_._-;_-@_-"/>
    <numFmt numFmtId="167" formatCode="0.00000"/>
    <numFmt numFmtId="168" formatCode="0.0000"/>
    <numFmt numFmtId="169" formatCode="#,##0.00000"/>
    <numFmt numFmtId="170" formatCode="_-* #,##0.00000_р_._-;\-* #,##0.00000_р_._-;_-* &quot;-&quot;???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Fill="1"/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4" fillId="3" borderId="0" xfId="0" applyFont="1" applyFill="1"/>
    <xf numFmtId="0" fontId="0" fillId="2" borderId="0" xfId="0" applyFont="1" applyFill="1"/>
    <xf numFmtId="0" fontId="4" fillId="2" borderId="0" xfId="0" applyFont="1" applyFill="1"/>
    <xf numFmtId="0" fontId="11" fillId="4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vertical="top" wrapText="1"/>
    </xf>
    <xf numFmtId="0" fontId="0" fillId="4" borderId="0" xfId="0" applyFont="1" applyFill="1"/>
    <xf numFmtId="0" fontId="4" fillId="4" borderId="0" xfId="0" applyFont="1" applyFill="1"/>
    <xf numFmtId="0" fontId="3" fillId="4" borderId="0" xfId="0" applyFont="1" applyFill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/>
    <xf numFmtId="165" fontId="8" fillId="4" borderId="0" xfId="2" applyNumberFormat="1" applyFont="1" applyFill="1" applyBorder="1" applyAlignment="1">
      <alignment horizontal="center" vertical="top" wrapText="1"/>
    </xf>
    <xf numFmtId="43" fontId="8" fillId="4" borderId="0" xfId="2" applyNumberFormat="1" applyFont="1" applyFill="1" applyBorder="1" applyAlignment="1">
      <alignment horizontal="center" vertical="top" wrapText="1"/>
    </xf>
    <xf numFmtId="167" fontId="8" fillId="4" borderId="2" xfId="2" applyNumberFormat="1" applyFont="1" applyFill="1" applyBorder="1" applyAlignment="1">
      <alignment horizontal="left" vertical="top" wrapText="1"/>
    </xf>
    <xf numFmtId="167" fontId="11" fillId="4" borderId="2" xfId="2" applyNumberFormat="1" applyFont="1" applyFill="1" applyBorder="1" applyAlignment="1">
      <alignment horizontal="center" vertical="top" wrapText="1"/>
    </xf>
    <xf numFmtId="167" fontId="8" fillId="4" borderId="2" xfId="2" applyNumberFormat="1" applyFont="1" applyFill="1" applyBorder="1" applyAlignment="1">
      <alignment horizontal="right" vertical="top" wrapText="1"/>
    </xf>
    <xf numFmtId="167" fontId="8" fillId="4" borderId="2" xfId="2" applyNumberFormat="1" applyFont="1" applyFill="1" applyBorder="1" applyAlignment="1">
      <alignment vertical="top" wrapText="1"/>
    </xf>
    <xf numFmtId="165" fontId="8" fillId="4" borderId="2" xfId="2" applyNumberFormat="1" applyFont="1" applyFill="1" applyBorder="1" applyAlignment="1">
      <alignment horizontal="center" vertical="top" wrapText="1"/>
    </xf>
    <xf numFmtId="43" fontId="8" fillId="4" borderId="2" xfId="2" applyNumberFormat="1" applyFont="1" applyFill="1" applyBorder="1" applyAlignment="1">
      <alignment horizontal="center" vertical="top" wrapText="1"/>
    </xf>
    <xf numFmtId="167" fontId="9" fillId="4" borderId="2" xfId="2" applyNumberFormat="1" applyFont="1" applyFill="1" applyBorder="1" applyAlignment="1">
      <alignment horizontal="center" vertical="top" wrapText="1"/>
    </xf>
    <xf numFmtId="167" fontId="8" fillId="4" borderId="2" xfId="2" applyNumberFormat="1" applyFont="1" applyFill="1" applyBorder="1" applyAlignment="1">
      <alignment horizontal="center" vertical="top" wrapText="1"/>
    </xf>
    <xf numFmtId="168" fontId="8" fillId="4" borderId="2" xfId="2" applyNumberFormat="1" applyFont="1" applyFill="1" applyBorder="1" applyAlignment="1">
      <alignment horizontal="center" vertical="top" wrapText="1"/>
    </xf>
    <xf numFmtId="0" fontId="10" fillId="4" borderId="2" xfId="1" applyFont="1" applyFill="1" applyBorder="1" applyAlignment="1">
      <alignment vertical="top" wrapText="1"/>
    </xf>
    <xf numFmtId="0" fontId="10" fillId="4" borderId="2" xfId="1" applyFont="1" applyFill="1" applyBorder="1" applyAlignment="1">
      <alignment horizontal="justify" vertical="top" wrapText="1"/>
    </xf>
    <xf numFmtId="167" fontId="10" fillId="4" borderId="2" xfId="1" applyNumberFormat="1" applyFont="1" applyFill="1" applyBorder="1" applyAlignment="1">
      <alignment horizontal="center" vertical="top" wrapText="1"/>
    </xf>
    <xf numFmtId="0" fontId="11" fillId="4" borderId="4" xfId="1" applyFont="1" applyFill="1" applyBorder="1" applyAlignment="1">
      <alignment vertical="top" wrapText="1"/>
    </xf>
    <xf numFmtId="167" fontId="12" fillId="4" borderId="2" xfId="1" applyNumberFormat="1" applyFont="1" applyFill="1" applyBorder="1"/>
    <xf numFmtId="167" fontId="12" fillId="4" borderId="2" xfId="1" applyNumberFormat="1" applyFont="1" applyFill="1" applyBorder="1" applyAlignment="1">
      <alignment horizontal="center"/>
    </xf>
    <xf numFmtId="167" fontId="13" fillId="4" borderId="2" xfId="2" applyNumberFormat="1" applyFont="1" applyFill="1" applyBorder="1" applyAlignment="1">
      <alignment horizontal="center" vertical="top" wrapText="1"/>
    </xf>
    <xf numFmtId="167" fontId="11" fillId="4" borderId="2" xfId="2" applyNumberFormat="1" applyFont="1" applyFill="1" applyBorder="1" applyAlignment="1">
      <alignment horizontal="left" vertical="top" wrapText="1"/>
    </xf>
    <xf numFmtId="167" fontId="13" fillId="4" borderId="2" xfId="2" applyNumberFormat="1" applyFont="1" applyFill="1" applyBorder="1" applyAlignment="1">
      <alignment horizontal="left" vertical="top" wrapText="1"/>
    </xf>
    <xf numFmtId="167" fontId="11" fillId="4" borderId="2" xfId="2" applyNumberFormat="1" applyFont="1" applyFill="1" applyBorder="1" applyAlignment="1">
      <alignment horizontal="right" vertical="top" wrapText="1"/>
    </xf>
    <xf numFmtId="0" fontId="8" fillId="4" borderId="3" xfId="1" applyFont="1" applyFill="1" applyBorder="1" applyAlignment="1">
      <alignment vertical="top" wrapText="1"/>
    </xf>
    <xf numFmtId="0" fontId="17" fillId="4" borderId="2" xfId="1" applyFont="1" applyFill="1" applyBorder="1" applyAlignment="1">
      <alignment vertical="top" wrapText="1"/>
    </xf>
    <xf numFmtId="167" fontId="4" fillId="4" borderId="2" xfId="0" applyNumberFormat="1" applyFont="1" applyFill="1" applyBorder="1"/>
    <xf numFmtId="167" fontId="8" fillId="4" borderId="2" xfId="0" applyNumberFormat="1" applyFont="1" applyFill="1" applyBorder="1"/>
    <xf numFmtId="167" fontId="9" fillId="4" borderId="2" xfId="1" applyNumberFormat="1" applyFont="1" applyFill="1" applyBorder="1" applyAlignment="1">
      <alignment horizontal="center" vertical="top" wrapText="1"/>
    </xf>
    <xf numFmtId="0" fontId="12" fillId="4" borderId="2" xfId="1" applyFont="1" applyFill="1" applyBorder="1"/>
    <xf numFmtId="0" fontId="8" fillId="4" borderId="2" xfId="1" applyFont="1" applyFill="1" applyBorder="1" applyAlignment="1">
      <alignment wrapText="1"/>
    </xf>
    <xf numFmtId="167" fontId="11" fillId="4" borderId="2" xfId="2" applyNumberFormat="1" applyFont="1" applyFill="1" applyBorder="1" applyAlignment="1">
      <alignment horizontal="center" vertical="center" wrapText="1"/>
    </xf>
    <xf numFmtId="167" fontId="12" fillId="4" borderId="2" xfId="1" applyNumberFormat="1" applyFont="1" applyFill="1" applyBorder="1" applyAlignment="1">
      <alignment vertical="center"/>
    </xf>
    <xf numFmtId="167" fontId="8" fillId="4" borderId="2" xfId="1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2" fontId="8" fillId="4" borderId="2" xfId="0" applyNumberFormat="1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0" fillId="4" borderId="2" xfId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wrapText="1"/>
    </xf>
    <xf numFmtId="167" fontId="8" fillId="4" borderId="2" xfId="1" applyNumberFormat="1" applyFont="1" applyFill="1" applyBorder="1" applyAlignment="1">
      <alignment horizontal="right" vertical="top" wrapText="1"/>
    </xf>
    <xf numFmtId="164" fontId="8" fillId="4" borderId="2" xfId="2" applyNumberFormat="1" applyFont="1" applyFill="1" applyBorder="1" applyAlignment="1">
      <alignment horizontal="center" vertical="top" wrapText="1"/>
    </xf>
    <xf numFmtId="166" fontId="8" fillId="4" borderId="2" xfId="2" applyNumberFormat="1" applyFont="1" applyFill="1" applyBorder="1" applyAlignment="1">
      <alignment horizontal="center" vertical="top" wrapText="1"/>
    </xf>
    <xf numFmtId="0" fontId="5" fillId="4" borderId="0" xfId="1" applyFont="1" applyFill="1"/>
    <xf numFmtId="0" fontId="5" fillId="4" borderId="0" xfId="1" applyFont="1" applyFill="1" applyAlignment="1">
      <alignment vertical="top" wrapText="1"/>
    </xf>
    <xf numFmtId="0" fontId="6" fillId="4" borderId="0" xfId="1" applyFont="1" applyFill="1" applyBorder="1" applyAlignment="1">
      <alignment vertical="top" wrapText="1"/>
    </xf>
    <xf numFmtId="0" fontId="8" fillId="4" borderId="3" xfId="1" applyFont="1" applyFill="1" applyBorder="1" applyAlignment="1">
      <alignment horizontal="justify" vertical="top" wrapText="1"/>
    </xf>
    <xf numFmtId="0" fontId="8" fillId="4" borderId="0" xfId="1" applyFont="1" applyFill="1" applyBorder="1" applyAlignment="1">
      <alignment vertical="top" wrapText="1"/>
    </xf>
    <xf numFmtId="164" fontId="8" fillId="4" borderId="0" xfId="2" applyNumberFormat="1" applyFont="1" applyFill="1" applyBorder="1" applyAlignment="1">
      <alignment horizontal="center" vertical="top" wrapText="1"/>
    </xf>
    <xf numFmtId="166" fontId="8" fillId="4" borderId="0" xfId="2" applyNumberFormat="1" applyFont="1" applyFill="1" applyBorder="1" applyAlignment="1">
      <alignment horizontal="center" vertical="top" wrapText="1"/>
    </xf>
    <xf numFmtId="0" fontId="5" fillId="4" borderId="0" xfId="1" applyFont="1" applyFill="1" applyBorder="1"/>
    <xf numFmtId="0" fontId="15" fillId="4" borderId="0" xfId="1" applyFont="1" applyFill="1"/>
    <xf numFmtId="167" fontId="9" fillId="4" borderId="2" xfId="2" applyNumberFormat="1" applyFont="1" applyFill="1" applyBorder="1" applyAlignment="1">
      <alignment horizontal="right" vertical="top" wrapText="1"/>
    </xf>
    <xf numFmtId="169" fontId="8" fillId="4" borderId="2" xfId="0" applyNumberFormat="1" applyFont="1" applyFill="1" applyBorder="1"/>
    <xf numFmtId="169" fontId="4" fillId="4" borderId="2" xfId="0" applyNumberFormat="1" applyFont="1" applyFill="1" applyBorder="1"/>
    <xf numFmtId="0" fontId="8" fillId="4" borderId="2" xfId="1" applyFont="1" applyFill="1" applyBorder="1" applyAlignment="1">
      <alignment horizontal="left" vertical="center" wrapText="1"/>
    </xf>
    <xf numFmtId="167" fontId="18" fillId="4" borderId="2" xfId="2" applyNumberFormat="1" applyFont="1" applyFill="1" applyBorder="1" applyAlignment="1">
      <alignment horizontal="center" vertical="top" wrapText="1"/>
    </xf>
    <xf numFmtId="167" fontId="0" fillId="0" borderId="0" xfId="0" applyNumberFormat="1" applyFont="1" applyFill="1" applyAlignment="1">
      <alignment wrapText="1"/>
    </xf>
    <xf numFmtId="167" fontId="4" fillId="0" borderId="0" xfId="0" applyNumberFormat="1" applyFont="1" applyFill="1"/>
    <xf numFmtId="167" fontId="12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left" vertical="top" wrapText="1"/>
    </xf>
    <xf numFmtId="0" fontId="8" fillId="4" borderId="5" xfId="1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justify" vertical="top" wrapText="1"/>
    </xf>
    <xf numFmtId="0" fontId="9" fillId="4" borderId="2" xfId="1" applyFont="1" applyFill="1" applyBorder="1" applyAlignment="1">
      <alignment horizontal="justify" vertical="top" wrapText="1"/>
    </xf>
    <xf numFmtId="0" fontId="9" fillId="4" borderId="2" xfId="1" applyFont="1" applyFill="1" applyBorder="1" applyAlignment="1">
      <alignment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169" fontId="8" fillId="4" borderId="2" xfId="0" applyNumberFormat="1" applyFont="1" applyFill="1" applyBorder="1" applyAlignment="1">
      <alignment horizontal="center"/>
    </xf>
    <xf numFmtId="170" fontId="8" fillId="4" borderId="2" xfId="2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3" xfId="1" applyFont="1" applyFill="1" applyBorder="1" applyAlignment="1">
      <alignment horizontal="left" vertical="top" wrapText="1"/>
    </xf>
    <xf numFmtId="0" fontId="8" fillId="4" borderId="4" xfId="1" applyFont="1" applyFill="1" applyBorder="1" applyAlignment="1">
      <alignment horizontal="left" vertical="top" wrapText="1"/>
    </xf>
    <xf numFmtId="0" fontId="8" fillId="4" borderId="5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center" vertical="top" wrapText="1"/>
    </xf>
    <xf numFmtId="0" fontId="9" fillId="4" borderId="2" xfId="1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justify" vertical="top" wrapText="1"/>
    </xf>
    <xf numFmtId="0" fontId="8" fillId="4" borderId="6" xfId="1" applyFont="1" applyFill="1" applyBorder="1" applyAlignment="1">
      <alignment horizontal="center" vertical="top" wrapText="1"/>
    </xf>
    <xf numFmtId="0" fontId="8" fillId="4" borderId="7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5" fillId="4" borderId="0" xfId="1" applyFont="1" applyFill="1" applyAlignment="1">
      <alignment horizontal="left" vertical="top" wrapText="1"/>
    </xf>
    <xf numFmtId="0" fontId="6" fillId="4" borderId="0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justify" vertical="top" wrapText="1"/>
    </xf>
    <xf numFmtId="0" fontId="9" fillId="4" borderId="2" xfId="1" applyFont="1" applyFill="1" applyBorder="1" applyAlignment="1">
      <alignment vertical="top" wrapText="1"/>
    </xf>
    <xf numFmtId="0" fontId="10" fillId="4" borderId="3" xfId="1" applyFont="1" applyFill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76"/>
  <sheetViews>
    <sheetView tabSelected="1" view="pageBreakPreview" zoomScale="90" zoomScaleNormal="100" zoomScaleSheetLayoutView="90" workbookViewId="0">
      <pane xSplit="4" ySplit="6" topLeftCell="E154" activePane="bottomRight" state="frozen"/>
      <selection pane="topRight" activeCell="E1" sqref="E1"/>
      <selection pane="bottomLeft" activeCell="A7" sqref="A7"/>
      <selection pane="bottomRight" activeCell="I2" sqref="I2:L2"/>
    </sheetView>
  </sheetViews>
  <sheetFormatPr defaultRowHeight="15" x14ac:dyDescent="0.25"/>
  <cols>
    <col min="1" max="1" width="4" style="16" customWidth="1"/>
    <col min="2" max="2" width="21.140625" style="16" customWidth="1"/>
    <col min="3" max="3" width="69.140625" style="16" customWidth="1"/>
    <col min="4" max="4" width="19.140625" style="16" customWidth="1"/>
    <col min="5" max="5" width="22.42578125" style="16" customWidth="1"/>
    <col min="6" max="6" width="17.42578125" style="16" customWidth="1"/>
    <col min="7" max="7" width="18.85546875" style="16" customWidth="1"/>
    <col min="8" max="8" width="18.5703125" style="16" customWidth="1"/>
    <col min="9" max="12" width="18.140625" style="16" customWidth="1"/>
    <col min="13" max="13" width="21.140625" style="1" customWidth="1"/>
    <col min="14" max="16384" width="9.140625" style="1"/>
  </cols>
  <sheetData>
    <row r="1" spans="1:15" ht="40.5" customHeight="1" x14ac:dyDescent="0.25">
      <c r="A1" s="59"/>
      <c r="B1" s="59"/>
      <c r="C1" s="59"/>
      <c r="D1" s="59"/>
      <c r="E1" s="59"/>
      <c r="G1" s="60"/>
      <c r="H1" s="60"/>
      <c r="I1" s="105" t="s">
        <v>121</v>
      </c>
      <c r="J1" s="105"/>
      <c r="K1" s="105"/>
      <c r="L1" s="105"/>
    </row>
    <row r="2" spans="1:15" ht="98.25" customHeight="1" x14ac:dyDescent="0.25">
      <c r="A2" s="59"/>
      <c r="B2" s="59"/>
      <c r="C2" s="59"/>
      <c r="D2" s="59"/>
      <c r="E2" s="59"/>
      <c r="G2" s="61"/>
      <c r="H2" s="61"/>
      <c r="I2" s="106" t="s">
        <v>110</v>
      </c>
      <c r="J2" s="106"/>
      <c r="K2" s="106"/>
      <c r="L2" s="106"/>
    </row>
    <row r="3" spans="1:15" ht="16.5" x14ac:dyDescent="0.25">
      <c r="A3" s="107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5" x14ac:dyDescent="0.25">
      <c r="A4" s="91" t="s">
        <v>0</v>
      </c>
      <c r="B4" s="91"/>
      <c r="C4" s="91"/>
      <c r="D4" s="102" t="s">
        <v>1</v>
      </c>
      <c r="E4" s="103"/>
      <c r="F4" s="103"/>
      <c r="G4" s="103"/>
      <c r="H4" s="103"/>
      <c r="I4" s="103"/>
      <c r="J4" s="103"/>
      <c r="K4" s="103"/>
      <c r="L4" s="104"/>
    </row>
    <row r="5" spans="1:15" x14ac:dyDescent="0.25">
      <c r="A5" s="101" t="s">
        <v>2</v>
      </c>
      <c r="B5" s="91" t="s">
        <v>3</v>
      </c>
      <c r="C5" s="91" t="s">
        <v>4</v>
      </c>
      <c r="D5" s="91" t="s">
        <v>5</v>
      </c>
      <c r="E5" s="102" t="s">
        <v>6</v>
      </c>
      <c r="F5" s="103"/>
      <c r="G5" s="103"/>
      <c r="H5" s="103"/>
      <c r="I5" s="103"/>
      <c r="J5" s="103"/>
      <c r="K5" s="103"/>
      <c r="L5" s="104"/>
    </row>
    <row r="6" spans="1:15" x14ac:dyDescent="0.25">
      <c r="A6" s="101"/>
      <c r="B6" s="91"/>
      <c r="C6" s="91"/>
      <c r="D6" s="91"/>
      <c r="E6" s="76" t="s">
        <v>7</v>
      </c>
      <c r="F6" s="76" t="s">
        <v>8</v>
      </c>
      <c r="G6" s="76" t="s">
        <v>9</v>
      </c>
      <c r="H6" s="76" t="s">
        <v>10</v>
      </c>
      <c r="I6" s="76" t="s">
        <v>11</v>
      </c>
      <c r="J6" s="76" t="s">
        <v>70</v>
      </c>
      <c r="K6" s="76" t="s">
        <v>71</v>
      </c>
      <c r="L6" s="76" t="s">
        <v>112</v>
      </c>
    </row>
    <row r="7" spans="1:15" x14ac:dyDescent="0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</row>
    <row r="8" spans="1:15" x14ac:dyDescent="0.25">
      <c r="A8" s="109"/>
      <c r="B8" s="110" t="s">
        <v>12</v>
      </c>
      <c r="C8" s="110" t="s">
        <v>120</v>
      </c>
      <c r="D8" s="84" t="s">
        <v>7</v>
      </c>
      <c r="E8" s="28">
        <f>SUM(F8:L8)</f>
        <v>4431675.8308000006</v>
      </c>
      <c r="F8" s="28">
        <f>F9+F10+F11</f>
        <v>652988.75286999997</v>
      </c>
      <c r="G8" s="28">
        <f>G9+G10+G11</f>
        <v>862526.56068</v>
      </c>
      <c r="H8" s="28">
        <f>H9+H10+H11</f>
        <v>1011538.1559700001</v>
      </c>
      <c r="I8" s="28">
        <f>I9+I10+I11</f>
        <v>768332.58627999993</v>
      </c>
      <c r="J8" s="28">
        <f>J9+J10+J11</f>
        <v>404922.375</v>
      </c>
      <c r="K8" s="28">
        <f t="shared" ref="K8" si="0">K9+K10+K11</f>
        <v>365139.4</v>
      </c>
      <c r="L8" s="28">
        <f>L9+L10+L11</f>
        <v>366228</v>
      </c>
      <c r="M8" s="74"/>
      <c r="O8" s="7"/>
    </row>
    <row r="9" spans="1:15" ht="30" x14ac:dyDescent="0.25">
      <c r="A9" s="109"/>
      <c r="B9" s="110"/>
      <c r="C9" s="110"/>
      <c r="D9" s="14" t="s">
        <v>13</v>
      </c>
      <c r="E9" s="29">
        <f>SUM(F9:L9)</f>
        <v>2321225.1756800003</v>
      </c>
      <c r="F9" s="29">
        <f>F14+F132+F161</f>
        <v>416387.87775000004</v>
      </c>
      <c r="G9" s="29">
        <f>G14+G132+G162</f>
        <v>303558.19481000002</v>
      </c>
      <c r="H9" s="29">
        <f>H14+H132+H162</f>
        <v>366576.38447000005</v>
      </c>
      <c r="I9" s="29">
        <f>I14+I132+I162</f>
        <v>276170.10865000001</v>
      </c>
      <c r="J9" s="29">
        <f>J14+J132+J162</f>
        <v>325173.61</v>
      </c>
      <c r="K9" s="29">
        <f>K14+K132+K162</f>
        <v>316135.2</v>
      </c>
      <c r="L9" s="29">
        <f>L161+L14+L132</f>
        <v>317223.8</v>
      </c>
    </row>
    <row r="10" spans="1:15" ht="45" x14ac:dyDescent="0.25">
      <c r="A10" s="109"/>
      <c r="B10" s="110"/>
      <c r="C10" s="110"/>
      <c r="D10" s="14" t="s">
        <v>14</v>
      </c>
      <c r="E10" s="29">
        <f t="shared" ref="E10:E11" si="1">SUM(F10:L10)</f>
        <v>1106077.23966</v>
      </c>
      <c r="F10" s="29">
        <f t="shared" ref="F10:H11" si="2">F15+F133</f>
        <v>156206.87511999998</v>
      </c>
      <c r="G10" s="30">
        <f t="shared" si="2"/>
        <v>200754.36587000001</v>
      </c>
      <c r="H10" s="29">
        <f t="shared" si="2"/>
        <v>458650.77150000003</v>
      </c>
      <c r="I10" s="29">
        <f>I15+I133+I163</f>
        <v>112748.62717000001</v>
      </c>
      <c r="J10" s="29">
        <f t="shared" ref="J10:L11" si="3">J15+J133</f>
        <v>79708.2</v>
      </c>
      <c r="K10" s="29">
        <f>K15+K133</f>
        <v>49004.2</v>
      </c>
      <c r="L10" s="29">
        <f t="shared" si="3"/>
        <v>49004.2</v>
      </c>
      <c r="M10" s="74"/>
      <c r="O10" s="7"/>
    </row>
    <row r="11" spans="1:15" ht="30" x14ac:dyDescent="0.25">
      <c r="A11" s="109"/>
      <c r="B11" s="110"/>
      <c r="C11" s="110"/>
      <c r="D11" s="14" t="s">
        <v>15</v>
      </c>
      <c r="E11" s="29">
        <f t="shared" si="1"/>
        <v>1004373.4154599999</v>
      </c>
      <c r="F11" s="29">
        <f t="shared" si="2"/>
        <v>80394</v>
      </c>
      <c r="G11" s="29">
        <f t="shared" si="2"/>
        <v>358214</v>
      </c>
      <c r="H11" s="29">
        <f t="shared" si="2"/>
        <v>186311</v>
      </c>
      <c r="I11" s="29">
        <f>I16+I134</f>
        <v>379413.85045999999</v>
      </c>
      <c r="J11" s="29">
        <f>J16+J134+J163</f>
        <v>40.564999999999998</v>
      </c>
      <c r="K11" s="29">
        <f t="shared" si="3"/>
        <v>0</v>
      </c>
      <c r="L11" s="29">
        <f t="shared" si="3"/>
        <v>0</v>
      </c>
      <c r="M11" s="74"/>
      <c r="N11" s="7"/>
    </row>
    <row r="12" spans="1:15" x14ac:dyDescent="0.25">
      <c r="A12" s="32"/>
      <c r="B12" s="31"/>
      <c r="C12" s="32"/>
      <c r="D12" s="32"/>
      <c r="E12" s="33"/>
      <c r="F12" s="33"/>
      <c r="G12" s="33"/>
      <c r="H12" s="33"/>
      <c r="I12" s="33"/>
      <c r="J12" s="33"/>
      <c r="K12" s="33"/>
      <c r="L12" s="33"/>
    </row>
    <row r="13" spans="1:15" x14ac:dyDescent="0.25">
      <c r="A13" s="101"/>
      <c r="B13" s="110" t="s">
        <v>16</v>
      </c>
      <c r="C13" s="110" t="s">
        <v>17</v>
      </c>
      <c r="D13" s="84" t="s">
        <v>7</v>
      </c>
      <c r="E13" s="28">
        <f>SUM(F13:L13)</f>
        <v>3649034.3571299999</v>
      </c>
      <c r="F13" s="28">
        <f>F14+F15+F16</f>
        <v>470342.42887</v>
      </c>
      <c r="G13" s="28">
        <f>G14+G15+G16</f>
        <v>790729.83868000004</v>
      </c>
      <c r="H13" s="28">
        <f>H14+H15+H16</f>
        <v>944182.97797000012</v>
      </c>
      <c r="I13" s="28">
        <f>I14+I15+I16</f>
        <v>704028.70660999999</v>
      </c>
      <c r="J13" s="28">
        <f t="shared" ref="J13:L13" si="4">J14+J15+J16</f>
        <v>251223.60499999998</v>
      </c>
      <c r="K13" s="28">
        <f t="shared" ref="K13" si="5">K14+K15+K16</f>
        <v>248295.5</v>
      </c>
      <c r="L13" s="28">
        <f t="shared" si="4"/>
        <v>240231.3</v>
      </c>
    </row>
    <row r="14" spans="1:15" ht="28.5" x14ac:dyDescent="0.25">
      <c r="A14" s="101"/>
      <c r="B14" s="110"/>
      <c r="C14" s="110"/>
      <c r="D14" s="85" t="s">
        <v>13</v>
      </c>
      <c r="E14" s="28">
        <f>SUM(F14:L14)</f>
        <v>1563097.8310100001</v>
      </c>
      <c r="F14" s="28">
        <f>F17+F18+F20+F24+F26+F27+F28+F30+F31+F32+F34+F37+F40+F42+F43+F47+F48+F49+F53+F54+F55+F56+F57+F59+F60+F61+F62+F67+F68+F70+F74+F76+F78+F85+F83+F93</f>
        <v>258198.61775000003</v>
      </c>
      <c r="G14" s="28">
        <f>G17+G18+G20+G24+G26+G27+G28+G30+G31+G32+G34+G37+G40+G42+G43+G47+G48+G49+G53+G54+G55+G56+G57+G59+G60+G61+G67+G68+G70+G74+G76+G78+G84+G85+G89+G63+G83</f>
        <v>231761.47280999998</v>
      </c>
      <c r="H14" s="28">
        <f>H17+H18+H20+H24+H26+H27+H28+H30+H31+H32+H34+H37+H40+H42+H43+H47+H48+H51+H53+H54+H55+H56+H57+H59+H60+H61+H67+H68+H70+H74+H76+H78+H84+H85+H89+H63+H83+H90+H91+H92+H93+H94+H95+H97+H96+H98+H99</f>
        <v>299221.20647000003</v>
      </c>
      <c r="I14" s="28">
        <f>I17+I18+I20+I24+I26+I27+I30+I31+I32+I34+I37+I40+I42+I43+I47+I48+I51+I53+I54+I55+I56+I57+I59+I60+I61+I67+I68+I70+I74+I76+I78+I84+I89+I63+I83+I90+I91+I92+I93+I94+I95+I97+I96+I98+I99+I101+I103+I106+I107+I109+I113+I117+I28+I100+I126+I120+I121+I122+I123+I124+I86+I128+I129</f>
        <v>211882.72897999999</v>
      </c>
      <c r="J14" s="28">
        <f>J17+J18+J20+J24+J26+J27+J28+J30+J31+J32+J34+J37+J40+J42+J43+J47+J48+J51+J53+J54+J55+J56+J57+J59+J60+J61+J67+J68+J70+J74+J76+J78+J84+J89+J63+J83+J90+J91+J92+J93+J94+J95+J97+J96+J98+J99+J101+J106+J107+J109+J113+J117+J120+J103+J121+J122+J124+J126+J86+J128+J130</f>
        <v>171515.40499999997</v>
      </c>
      <c r="K14" s="28">
        <f>K17+K18+K20+K24+K26+K27+K28+K30+K31+K32+K34+K37+K40+K42+K43+K47+K48+K51+K53+K54+K55+K56+K57+K59+K60+K61+K67+K68+K70+K74+K76+K78+K84+K85+K89+K63+K83+K90+K91+K92+K93+K94+K95+K97+K96+K98+K99+K101+K103+K106+K107+K109+K112+K116+K121+K122+K128</f>
        <v>199291.30000000002</v>
      </c>
      <c r="L14" s="28">
        <f>L17+L18+L20+L24+L26+L27+L28+L30+L31+L32+L34+L37+L40+L42+L43+L47+L48+L51+L53+L54+L55+L56+L57+L59+L60+L61+L67+L68+L70+L74+L76+L78+L84+L85+L89+L63+L83+L90+L91+L92+L93+L94+L95+L97+L96+L98+L99+L101+L103+L106+L107+L109+L112+L116+L121+L122+L120</f>
        <v>191227.1</v>
      </c>
    </row>
    <row r="15" spans="1:15" ht="42.75" x14ac:dyDescent="0.25">
      <c r="A15" s="101"/>
      <c r="B15" s="110"/>
      <c r="C15" s="110"/>
      <c r="D15" s="85" t="s">
        <v>14</v>
      </c>
      <c r="E15" s="28">
        <f>SUM(F15:L15)</f>
        <v>1098603.6756599999</v>
      </c>
      <c r="F15" s="28">
        <f>F21+F35+F38+F45</f>
        <v>148749.81111999997</v>
      </c>
      <c r="G15" s="28">
        <f>G21+G35+G38+G45+G75+G65+G41</f>
        <v>200754.36587000001</v>
      </c>
      <c r="H15" s="28">
        <f>H41+H45+H75+H65+H81+H50</f>
        <v>458650.77150000003</v>
      </c>
      <c r="I15" s="28">
        <f>I45+I58+I71+I87</f>
        <v>112732.12717000001</v>
      </c>
      <c r="J15" s="28">
        <f>J21+J35+J38+J45+J75+J81+J104+J71+J87+J110+J114+J118+J127</f>
        <v>79708.2</v>
      </c>
      <c r="K15" s="28">
        <f>K21+K35+K38+K45+K75+K81+K104+K71</f>
        <v>49004.2</v>
      </c>
      <c r="L15" s="28">
        <f>L21+L35+L38+L45+L75+L81+L104+L71</f>
        <v>49004.2</v>
      </c>
    </row>
    <row r="16" spans="1:15" ht="28.5" x14ac:dyDescent="0.25">
      <c r="A16" s="101"/>
      <c r="B16" s="110"/>
      <c r="C16" s="110"/>
      <c r="D16" s="85" t="s">
        <v>15</v>
      </c>
      <c r="E16" s="28">
        <f>SUM(F16:L16)</f>
        <v>987332.85045999999</v>
      </c>
      <c r="F16" s="28">
        <f>F46+F22+F25+F79</f>
        <v>63394</v>
      </c>
      <c r="G16" s="28">
        <f>G46+G22+G25+G79+G66</f>
        <v>358214</v>
      </c>
      <c r="H16" s="28">
        <f>H46+H22+H25+H79+H66+H82</f>
        <v>186311</v>
      </c>
      <c r="I16" s="28">
        <f>I46+I22+I25+I79+I82+I105+I72+I88</f>
        <v>379413.85045999999</v>
      </c>
      <c r="J16" s="28">
        <f>J46+J22+J25+J79+J82+J105+J72+J111+J119+J88+J115</f>
        <v>0</v>
      </c>
      <c r="K16" s="28">
        <f>K46+K22+K25+K79+K82+K105+K72</f>
        <v>0</v>
      </c>
      <c r="L16" s="28">
        <f>L46+L22+L25+L79+L82+L105+L72</f>
        <v>0</v>
      </c>
    </row>
    <row r="17" spans="1:12" ht="30" x14ac:dyDescent="0.25">
      <c r="A17" s="83"/>
      <c r="B17" s="14"/>
      <c r="C17" s="14" t="s">
        <v>18</v>
      </c>
      <c r="D17" s="14" t="s">
        <v>19</v>
      </c>
      <c r="E17" s="29">
        <f t="shared" ref="E17:E148" si="6">SUM(F17:I17)</f>
        <v>6235.74</v>
      </c>
      <c r="F17" s="29">
        <f>20689.8-14419.8-34.26</f>
        <v>6235.74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30" x14ac:dyDescent="0.25">
      <c r="A18" s="83"/>
      <c r="B18" s="14"/>
      <c r="C18" s="14" t="s">
        <v>20</v>
      </c>
      <c r="D18" s="14" t="s">
        <v>19</v>
      </c>
      <c r="E18" s="29">
        <f t="shared" si="6"/>
        <v>2966.94</v>
      </c>
      <c r="F18" s="29">
        <f>3000-33.06</f>
        <v>2966.94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x14ac:dyDescent="0.25">
      <c r="A19" s="92"/>
      <c r="B19" s="92"/>
      <c r="C19" s="95" t="s">
        <v>107</v>
      </c>
      <c r="D19" s="34" t="s">
        <v>21</v>
      </c>
      <c r="E19" s="23">
        <f t="shared" ref="E19:E24" si="7">SUM(F19:L19)</f>
        <v>232773.69923999999</v>
      </c>
      <c r="F19" s="35">
        <f>F20+F22+F21</f>
        <v>52440.049999999996</v>
      </c>
      <c r="G19" s="35">
        <f>G20+G22+G21</f>
        <v>133317.20000000001</v>
      </c>
      <c r="H19" s="35">
        <f>H20+H22+H21</f>
        <v>46804.799999999996</v>
      </c>
      <c r="I19" s="36">
        <f>I20+I22</f>
        <v>211.64924000000019</v>
      </c>
      <c r="J19" s="36">
        <f t="shared" ref="J19:L19" si="8">J20+J22</f>
        <v>0</v>
      </c>
      <c r="K19" s="36">
        <f t="shared" ref="K19" si="9">K20+K22</f>
        <v>0</v>
      </c>
      <c r="L19" s="36">
        <f t="shared" si="8"/>
        <v>0</v>
      </c>
    </row>
    <row r="20" spans="1:12" ht="30" x14ac:dyDescent="0.25">
      <c r="A20" s="93"/>
      <c r="B20" s="93"/>
      <c r="C20" s="96"/>
      <c r="D20" s="14" t="s">
        <v>19</v>
      </c>
      <c r="E20" s="29">
        <f t="shared" si="7"/>
        <v>138627.59923999998</v>
      </c>
      <c r="F20" s="29">
        <f>3000+1000+2000+2000+2000+12440.05-4146.1</f>
        <v>18293.949999999997</v>
      </c>
      <c r="G20" s="29">
        <v>73317.2</v>
      </c>
      <c r="H20" s="29">
        <f>65739.4-20231.6+360.2-60.1+1000-3.1</f>
        <v>46804.799999999996</v>
      </c>
      <c r="I20" s="29">
        <f>2105.59-50-1843.94076</f>
        <v>211.64924000000019</v>
      </c>
      <c r="J20" s="29">
        <v>0</v>
      </c>
      <c r="K20" s="29">
        <v>0</v>
      </c>
      <c r="L20" s="29">
        <v>0</v>
      </c>
    </row>
    <row r="21" spans="1:12" ht="29.25" customHeight="1" x14ac:dyDescent="0.25">
      <c r="A21" s="93"/>
      <c r="B21" s="93"/>
      <c r="C21" s="96"/>
      <c r="D21" s="14" t="s">
        <v>14</v>
      </c>
      <c r="E21" s="29">
        <f t="shared" si="7"/>
        <v>10000</v>
      </c>
      <c r="F21" s="29">
        <v>10000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30" x14ac:dyDescent="0.25">
      <c r="A22" s="94"/>
      <c r="B22" s="94"/>
      <c r="C22" s="97"/>
      <c r="D22" s="14" t="s">
        <v>15</v>
      </c>
      <c r="E22" s="29">
        <f t="shared" si="7"/>
        <v>84146.1</v>
      </c>
      <c r="F22" s="29">
        <f>20000+4146.1</f>
        <v>24146.1</v>
      </c>
      <c r="G22" s="29">
        <v>60000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x14ac:dyDescent="0.25">
      <c r="A23" s="92"/>
      <c r="B23" s="92"/>
      <c r="C23" s="95" t="s">
        <v>22</v>
      </c>
      <c r="D23" s="34" t="s">
        <v>21</v>
      </c>
      <c r="E23" s="23">
        <f t="shared" si="7"/>
        <v>43394</v>
      </c>
      <c r="F23" s="23">
        <f>SUM(F24:F25)</f>
        <v>43394</v>
      </c>
      <c r="G23" s="23">
        <f>SUM(G24:G25)</f>
        <v>0</v>
      </c>
      <c r="H23" s="23">
        <f>SUM(H24:H25)</f>
        <v>0</v>
      </c>
      <c r="I23" s="23">
        <f>SUM(I24:I25)</f>
        <v>0</v>
      </c>
      <c r="J23" s="36">
        <f t="shared" ref="J23:L23" si="10">J24+J25</f>
        <v>0</v>
      </c>
      <c r="K23" s="36">
        <f t="shared" si="10"/>
        <v>0</v>
      </c>
      <c r="L23" s="36">
        <f t="shared" si="10"/>
        <v>0</v>
      </c>
    </row>
    <row r="24" spans="1:12" ht="30" x14ac:dyDescent="0.25">
      <c r="A24" s="93"/>
      <c r="B24" s="93"/>
      <c r="C24" s="96"/>
      <c r="D24" s="14" t="s">
        <v>19</v>
      </c>
      <c r="E24" s="29">
        <f t="shared" si="7"/>
        <v>4146.1000000000004</v>
      </c>
      <c r="F24" s="29">
        <f>4146.1</f>
        <v>4146.1000000000004</v>
      </c>
      <c r="G24" s="29"/>
      <c r="H24" s="29"/>
      <c r="I24" s="29"/>
      <c r="J24" s="29">
        <v>0</v>
      </c>
      <c r="K24" s="29">
        <v>0</v>
      </c>
      <c r="L24" s="29">
        <v>0</v>
      </c>
    </row>
    <row r="25" spans="1:12" ht="30" x14ac:dyDescent="0.25">
      <c r="A25" s="94"/>
      <c r="B25" s="94"/>
      <c r="C25" s="97"/>
      <c r="D25" s="14" t="s">
        <v>15</v>
      </c>
      <c r="E25" s="29">
        <f t="shared" ref="E25:E32" si="11">SUM(F25:L25)</f>
        <v>39247.9</v>
      </c>
      <c r="F25" s="29">
        <f>43393.8+0.2-4146.1</f>
        <v>39247.9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1:12" ht="30" x14ac:dyDescent="0.25">
      <c r="A26" s="83"/>
      <c r="B26" s="14"/>
      <c r="C26" s="14" t="s">
        <v>23</v>
      </c>
      <c r="D26" s="14" t="s">
        <v>19</v>
      </c>
      <c r="E26" s="29">
        <f t="shared" si="11"/>
        <v>3034.92</v>
      </c>
      <c r="F26" s="29">
        <f>3788.5-467.48-150-71.1-65</f>
        <v>3034.92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1:12" ht="30" x14ac:dyDescent="0.25">
      <c r="A27" s="83"/>
      <c r="B27" s="14"/>
      <c r="C27" s="14" t="s">
        <v>24</v>
      </c>
      <c r="D27" s="14" t="s">
        <v>19</v>
      </c>
      <c r="E27" s="29">
        <f t="shared" si="11"/>
        <v>3821.35</v>
      </c>
      <c r="F27" s="29">
        <f>4470.2-445.5-203.35</f>
        <v>3821.35</v>
      </c>
      <c r="G27" s="29"/>
      <c r="H27" s="29"/>
      <c r="I27" s="29"/>
      <c r="J27" s="29">
        <v>0</v>
      </c>
      <c r="K27" s="29">
        <v>0</v>
      </c>
      <c r="L27" s="29">
        <v>0</v>
      </c>
    </row>
    <row r="28" spans="1:12" ht="30" x14ac:dyDescent="0.25">
      <c r="A28" s="83"/>
      <c r="B28" s="14"/>
      <c r="C28" s="14" t="s">
        <v>98</v>
      </c>
      <c r="D28" s="14" t="s">
        <v>19</v>
      </c>
      <c r="E28" s="29">
        <f t="shared" si="11"/>
        <v>2706.7233299999998</v>
      </c>
      <c r="F28" s="24">
        <f>4717-2000-770.61-98-68.67</f>
        <v>1779.7199999999998</v>
      </c>
      <c r="G28" s="29"/>
      <c r="H28" s="29"/>
      <c r="I28" s="22">
        <f>1219.52-150-2.01667-50-90.5</f>
        <v>927.00333000000001</v>
      </c>
      <c r="J28" s="29">
        <v>0</v>
      </c>
      <c r="K28" s="29">
        <v>0</v>
      </c>
      <c r="L28" s="29">
        <v>0</v>
      </c>
    </row>
    <row r="29" spans="1:12" ht="30" hidden="1" x14ac:dyDescent="0.25">
      <c r="A29" s="83"/>
      <c r="B29" s="14"/>
      <c r="C29" s="14" t="s">
        <v>25</v>
      </c>
      <c r="D29" s="14" t="s">
        <v>19</v>
      </c>
      <c r="E29" s="29">
        <f t="shared" si="11"/>
        <v>0</v>
      </c>
      <c r="F29" s="24">
        <f>3500-3500</f>
        <v>0</v>
      </c>
      <c r="G29" s="29"/>
      <c r="H29" s="29"/>
      <c r="I29" s="29"/>
      <c r="J29" s="29">
        <v>0</v>
      </c>
      <c r="K29" s="29">
        <v>0</v>
      </c>
      <c r="L29" s="29">
        <v>0</v>
      </c>
    </row>
    <row r="30" spans="1:12" ht="30" x14ac:dyDescent="0.25">
      <c r="A30" s="83"/>
      <c r="B30" s="14"/>
      <c r="C30" s="14" t="s">
        <v>26</v>
      </c>
      <c r="D30" s="14" t="s">
        <v>19</v>
      </c>
      <c r="E30" s="29">
        <f t="shared" si="11"/>
        <v>2352.63</v>
      </c>
      <c r="F30" s="24">
        <f>2421-68.37</f>
        <v>2352.63</v>
      </c>
      <c r="G30" s="29"/>
      <c r="H30" s="29"/>
      <c r="I30" s="29"/>
      <c r="J30" s="29">
        <v>0</v>
      </c>
      <c r="K30" s="29">
        <v>0</v>
      </c>
      <c r="L30" s="29">
        <v>0</v>
      </c>
    </row>
    <row r="31" spans="1:12" ht="30" x14ac:dyDescent="0.25">
      <c r="A31" s="83"/>
      <c r="B31" s="14"/>
      <c r="C31" s="14" t="s">
        <v>27</v>
      </c>
      <c r="D31" s="14" t="s">
        <v>19</v>
      </c>
      <c r="E31" s="29">
        <f t="shared" si="11"/>
        <v>17739.400000000001</v>
      </c>
      <c r="F31" s="24">
        <f>22739.4-5000</f>
        <v>17739.400000000001</v>
      </c>
      <c r="G31" s="29"/>
      <c r="H31" s="37"/>
      <c r="I31" s="37"/>
      <c r="J31" s="29">
        <v>0</v>
      </c>
      <c r="K31" s="29">
        <v>0</v>
      </c>
      <c r="L31" s="29">
        <v>0</v>
      </c>
    </row>
    <row r="32" spans="1:12" ht="30" x14ac:dyDescent="0.25">
      <c r="A32" s="83"/>
      <c r="B32" s="14"/>
      <c r="C32" s="14" t="s">
        <v>28</v>
      </c>
      <c r="D32" s="14" t="s">
        <v>19</v>
      </c>
      <c r="E32" s="29">
        <f t="shared" si="11"/>
        <v>146098.77000000002</v>
      </c>
      <c r="F32" s="29">
        <f>39482.1+20000+150+40000+5000+25000</f>
        <v>129632.1</v>
      </c>
      <c r="G32" s="29">
        <f>100000-20000-40000-23550+16.67</f>
        <v>16466.669999999998</v>
      </c>
      <c r="H32" s="37">
        <v>0</v>
      </c>
      <c r="I32" s="37">
        <v>0</v>
      </c>
      <c r="J32" s="29">
        <v>0</v>
      </c>
      <c r="K32" s="29">
        <v>0</v>
      </c>
      <c r="L32" s="29">
        <v>0</v>
      </c>
    </row>
    <row r="33" spans="1:13" x14ac:dyDescent="0.25">
      <c r="A33" s="92"/>
      <c r="B33" s="92"/>
      <c r="C33" s="95" t="s">
        <v>29</v>
      </c>
      <c r="D33" s="34" t="s">
        <v>21</v>
      </c>
      <c r="E33" s="38">
        <f>SUM(F33:L33)</f>
        <v>91068.98000000001</v>
      </c>
      <c r="F33" s="35">
        <f>F34+F35</f>
        <v>51574.68</v>
      </c>
      <c r="G33" s="35">
        <f>G34+G35</f>
        <v>39494.300000000003</v>
      </c>
      <c r="H33" s="35">
        <f>H34+H35</f>
        <v>0</v>
      </c>
      <c r="I33" s="35">
        <f>I34+I35</f>
        <v>0</v>
      </c>
      <c r="J33" s="36">
        <f t="shared" ref="J33:L33" si="12">J34+J35</f>
        <v>0</v>
      </c>
      <c r="K33" s="36">
        <f t="shared" si="12"/>
        <v>0</v>
      </c>
      <c r="L33" s="36">
        <f t="shared" si="12"/>
        <v>0</v>
      </c>
    </row>
    <row r="34" spans="1:13" ht="30" x14ac:dyDescent="0.25">
      <c r="A34" s="93"/>
      <c r="B34" s="93"/>
      <c r="C34" s="96"/>
      <c r="D34" s="14" t="s">
        <v>19</v>
      </c>
      <c r="E34" s="22">
        <f>SUM(F34:L34)</f>
        <v>30329.73</v>
      </c>
      <c r="F34" s="22">
        <f>36641-3333.885-3065.71-1535-8515.925</f>
        <v>20190.48</v>
      </c>
      <c r="G34" s="22">
        <f>62152.9-18572.08-29573.6-4086.6+0.08+218.55</f>
        <v>10139.25</v>
      </c>
      <c r="H34" s="39">
        <v>0</v>
      </c>
      <c r="I34" s="39">
        <v>0</v>
      </c>
      <c r="J34" s="29">
        <v>0</v>
      </c>
      <c r="K34" s="29">
        <v>0</v>
      </c>
      <c r="L34" s="29">
        <v>0</v>
      </c>
    </row>
    <row r="35" spans="1:13" ht="24.75" customHeight="1" x14ac:dyDescent="0.25">
      <c r="A35" s="94"/>
      <c r="B35" s="94"/>
      <c r="C35" s="97"/>
      <c r="D35" s="14" t="s">
        <v>14</v>
      </c>
      <c r="E35" s="22">
        <f>SUM(F35:L35)</f>
        <v>60739.25</v>
      </c>
      <c r="F35" s="22">
        <v>31384.2</v>
      </c>
      <c r="G35" s="22">
        <f>29573.6-218.55</f>
        <v>29355.05</v>
      </c>
      <c r="H35" s="39">
        <v>0</v>
      </c>
      <c r="I35" s="39">
        <v>0</v>
      </c>
      <c r="J35" s="29">
        <v>0</v>
      </c>
      <c r="K35" s="29">
        <v>0</v>
      </c>
      <c r="L35" s="29">
        <v>0</v>
      </c>
    </row>
    <row r="36" spans="1:13" x14ac:dyDescent="0.25">
      <c r="A36" s="92"/>
      <c r="B36" s="92"/>
      <c r="C36" s="95" t="s">
        <v>30</v>
      </c>
      <c r="D36" s="13" t="s">
        <v>21</v>
      </c>
      <c r="E36" s="38">
        <f>SUM(F36:L36)</f>
        <v>93671.345000000001</v>
      </c>
      <c r="F36" s="35">
        <f>F37+F38</f>
        <v>53162.74</v>
      </c>
      <c r="G36" s="35">
        <f>G37+G38</f>
        <v>40508.605000000003</v>
      </c>
      <c r="H36" s="35">
        <f>H37+H38</f>
        <v>0</v>
      </c>
      <c r="I36" s="35">
        <f>I37+I38</f>
        <v>0</v>
      </c>
      <c r="J36" s="36">
        <f t="shared" ref="J36:L36" si="13">J37+J38</f>
        <v>0</v>
      </c>
      <c r="K36" s="36">
        <f t="shared" si="13"/>
        <v>0</v>
      </c>
      <c r="L36" s="36">
        <f t="shared" si="13"/>
        <v>0</v>
      </c>
    </row>
    <row r="37" spans="1:13" ht="30" x14ac:dyDescent="0.25">
      <c r="A37" s="93"/>
      <c r="B37" s="93"/>
      <c r="C37" s="96"/>
      <c r="D37" s="14" t="s">
        <v>19</v>
      </c>
      <c r="E37" s="24">
        <f>SUM(F37:L37)</f>
        <v>34033.495000000003</v>
      </c>
      <c r="F37" s="24">
        <f>29561.5+3203.3-12194.16+2000</f>
        <v>22570.639999999999</v>
      </c>
      <c r="G37" s="24">
        <f>13659.6-2000-218.55+21.805</f>
        <v>11462.855000000001</v>
      </c>
      <c r="H37" s="22">
        <v>0</v>
      </c>
      <c r="I37" s="22">
        <v>0</v>
      </c>
      <c r="J37" s="29">
        <v>0</v>
      </c>
      <c r="K37" s="29">
        <v>0</v>
      </c>
      <c r="L37" s="29">
        <v>0</v>
      </c>
    </row>
    <row r="38" spans="1:13" ht="28.5" customHeight="1" x14ac:dyDescent="0.25">
      <c r="A38" s="94"/>
      <c r="B38" s="94"/>
      <c r="C38" s="97"/>
      <c r="D38" s="14" t="s">
        <v>14</v>
      </c>
      <c r="E38" s="24">
        <f t="shared" ref="E38:E43" si="14">SUM(F38:L38)</f>
        <v>59637.85</v>
      </c>
      <c r="F38" s="24">
        <v>30592.1</v>
      </c>
      <c r="G38" s="24">
        <f>28827.2+218.55</f>
        <v>29045.75</v>
      </c>
      <c r="H38" s="22">
        <v>0</v>
      </c>
      <c r="I38" s="22">
        <v>0</v>
      </c>
      <c r="J38" s="29">
        <v>0</v>
      </c>
      <c r="K38" s="29">
        <v>0</v>
      </c>
      <c r="L38" s="29">
        <v>0</v>
      </c>
    </row>
    <row r="39" spans="1:13" x14ac:dyDescent="0.25">
      <c r="A39" s="92"/>
      <c r="B39" s="91"/>
      <c r="C39" s="100" t="s">
        <v>31</v>
      </c>
      <c r="D39" s="13" t="s">
        <v>21</v>
      </c>
      <c r="E39" s="38">
        <f>SUM(F39:L39)</f>
        <v>371270.41609000001</v>
      </c>
      <c r="F39" s="40">
        <f>F40+F41</f>
        <v>2.9558577807620168E-12</v>
      </c>
      <c r="G39" s="40">
        <f t="shared" ref="G39:L39" si="15">G40+G41</f>
        <v>9439.8831800000007</v>
      </c>
      <c r="H39" s="40">
        <f t="shared" si="15"/>
        <v>361830.53291000001</v>
      </c>
      <c r="I39" s="40">
        <f t="shared" si="15"/>
        <v>0</v>
      </c>
      <c r="J39" s="23">
        <f t="shared" si="15"/>
        <v>0</v>
      </c>
      <c r="K39" s="23">
        <f t="shared" ref="K39" si="16">K40+K41</f>
        <v>0</v>
      </c>
      <c r="L39" s="23">
        <f t="shared" si="15"/>
        <v>0</v>
      </c>
    </row>
    <row r="40" spans="1:13" ht="30" x14ac:dyDescent="0.25">
      <c r="A40" s="93"/>
      <c r="B40" s="91"/>
      <c r="C40" s="100"/>
      <c r="D40" s="14" t="s">
        <v>19</v>
      </c>
      <c r="E40" s="24">
        <f t="shared" si="14"/>
        <v>58922.716090000002</v>
      </c>
      <c r="F40" s="29">
        <f>1977.3+56000-56000-1977.3</f>
        <v>2.9558577807620168E-12</v>
      </c>
      <c r="G40" s="29">
        <v>9439.8831800000007</v>
      </c>
      <c r="H40" s="29">
        <f>33493.7+18280-1701.013-589.85409</f>
        <v>49482.832909999997</v>
      </c>
      <c r="I40" s="29">
        <f>110479.6-110479.6</f>
        <v>0</v>
      </c>
      <c r="J40" s="29">
        <f>52039.5-52039.5</f>
        <v>0</v>
      </c>
      <c r="K40" s="29">
        <v>0</v>
      </c>
      <c r="L40" s="29">
        <v>0</v>
      </c>
      <c r="M40" s="2"/>
    </row>
    <row r="41" spans="1:13" ht="27" customHeight="1" x14ac:dyDescent="0.25">
      <c r="A41" s="94"/>
      <c r="B41" s="91"/>
      <c r="C41" s="100"/>
      <c r="D41" s="14" t="s">
        <v>14</v>
      </c>
      <c r="E41" s="24">
        <f t="shared" si="14"/>
        <v>312347.7</v>
      </c>
      <c r="F41" s="29"/>
      <c r="G41" s="29">
        <v>0</v>
      </c>
      <c r="H41" s="29">
        <v>312347.7</v>
      </c>
      <c r="I41" s="29"/>
      <c r="J41" s="29">
        <v>0</v>
      </c>
      <c r="K41" s="29">
        <v>0</v>
      </c>
      <c r="L41" s="29">
        <v>0</v>
      </c>
    </row>
    <row r="42" spans="1:13" ht="30" x14ac:dyDescent="0.25">
      <c r="A42" s="83"/>
      <c r="B42" s="14"/>
      <c r="C42" s="14" t="s">
        <v>32</v>
      </c>
      <c r="D42" s="14" t="s">
        <v>19</v>
      </c>
      <c r="E42" s="24">
        <f t="shared" si="14"/>
        <v>7845.7170000000006</v>
      </c>
      <c r="F42" s="29">
        <f>7328.7+1500-982.983</f>
        <v>7845.7170000000006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</row>
    <row r="43" spans="1:13" ht="30" x14ac:dyDescent="0.25">
      <c r="A43" s="83"/>
      <c r="B43" s="14"/>
      <c r="C43" s="14" t="s">
        <v>33</v>
      </c>
      <c r="D43" s="14" t="s">
        <v>19</v>
      </c>
      <c r="E43" s="24">
        <f t="shared" si="14"/>
        <v>17125.12</v>
      </c>
      <c r="F43" s="29">
        <f>14969.5-5006.1+5500+1683.59-21.87</f>
        <v>17125.12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</row>
    <row r="44" spans="1:13" x14ac:dyDescent="0.25">
      <c r="A44" s="101"/>
      <c r="B44" s="92"/>
      <c r="C44" s="95" t="s">
        <v>34</v>
      </c>
      <c r="D44" s="13" t="s">
        <v>21</v>
      </c>
      <c r="E44" s="23">
        <f>SUM(F44:L44)</f>
        <v>491559.26877000002</v>
      </c>
      <c r="F44" s="23">
        <f>F45+F46+F47</f>
        <v>77191.886870000002</v>
      </c>
      <c r="G44" s="23">
        <f>G45+G46+G47</f>
        <v>112682.3569</v>
      </c>
      <c r="H44" s="23">
        <f>H45+H46+H47</f>
        <v>58003.574999999997</v>
      </c>
      <c r="I44" s="23">
        <f>I45+I46+I47</f>
        <v>65964.850000000006</v>
      </c>
      <c r="J44" s="23">
        <f t="shared" ref="J44" si="17">J45+J46+J47</f>
        <v>79708.2</v>
      </c>
      <c r="K44" s="23">
        <f t="shared" ref="K44" si="18">K45+K46+K47</f>
        <v>49004.2</v>
      </c>
      <c r="L44" s="23">
        <f>L45</f>
        <v>49004.2</v>
      </c>
    </row>
    <row r="45" spans="1:13" ht="27.75" customHeight="1" x14ac:dyDescent="0.25">
      <c r="A45" s="101"/>
      <c r="B45" s="93"/>
      <c r="C45" s="96"/>
      <c r="D45" s="14" t="s">
        <v>35</v>
      </c>
      <c r="E45" s="29">
        <f>SUM(F45:L45)</f>
        <v>491140.89302000002</v>
      </c>
      <c r="F45" s="29">
        <v>76773.511119999996</v>
      </c>
      <c r="G45" s="29">
        <v>112682.3569</v>
      </c>
      <c r="H45" s="29">
        <f>58003.6-0.025</f>
        <v>58003.574999999997</v>
      </c>
      <c r="I45" s="29">
        <f>65964.8+0.05+45479.14393-45479.14393</f>
        <v>65964.850000000006</v>
      </c>
      <c r="J45" s="29">
        <v>79708.2</v>
      </c>
      <c r="K45" s="29">
        <v>49004.2</v>
      </c>
      <c r="L45" s="29">
        <v>49004.2</v>
      </c>
    </row>
    <row r="46" spans="1:13" ht="30" x14ac:dyDescent="0.25">
      <c r="A46" s="101"/>
      <c r="B46" s="93"/>
      <c r="C46" s="96"/>
      <c r="D46" s="14" t="s">
        <v>15</v>
      </c>
      <c r="E46" s="29">
        <f t="shared" ref="E46:E61" si="19">SUM(F46:L46)</f>
        <v>0</v>
      </c>
      <c r="F46" s="29">
        <f>9585.765-3195.255-6390.51</f>
        <v>0</v>
      </c>
      <c r="G46" s="29">
        <v>0</v>
      </c>
      <c r="H46" s="29"/>
      <c r="I46" s="29"/>
      <c r="J46" s="29">
        <v>0</v>
      </c>
      <c r="K46" s="29">
        <v>0</v>
      </c>
      <c r="L46" s="29">
        <v>0</v>
      </c>
    </row>
    <row r="47" spans="1:13" ht="30" x14ac:dyDescent="0.25">
      <c r="A47" s="83"/>
      <c r="B47" s="94"/>
      <c r="C47" s="97"/>
      <c r="D47" s="14" t="s">
        <v>19</v>
      </c>
      <c r="E47" s="29">
        <f t="shared" si="19"/>
        <v>418.37574999999998</v>
      </c>
      <c r="F47" s="29">
        <v>418.37574999999998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3" ht="30" x14ac:dyDescent="0.25">
      <c r="A48" s="83"/>
      <c r="B48" s="14"/>
      <c r="C48" s="14" t="s">
        <v>36</v>
      </c>
      <c r="D48" s="14" t="s">
        <v>19</v>
      </c>
      <c r="E48" s="29">
        <f t="shared" si="19"/>
        <v>1909.9</v>
      </c>
      <c r="F48" s="29">
        <v>0</v>
      </c>
      <c r="G48" s="29">
        <v>1909.9</v>
      </c>
      <c r="H48" s="37">
        <v>0</v>
      </c>
      <c r="I48" s="37">
        <v>0</v>
      </c>
      <c r="J48" s="29">
        <v>0</v>
      </c>
      <c r="K48" s="29">
        <v>0</v>
      </c>
      <c r="L48" s="29">
        <v>0</v>
      </c>
    </row>
    <row r="49" spans="1:14" ht="13.5" customHeight="1" x14ac:dyDescent="0.25">
      <c r="A49" s="92"/>
      <c r="B49" s="92"/>
      <c r="C49" s="95" t="s">
        <v>37</v>
      </c>
      <c r="D49" s="13" t="s">
        <v>21</v>
      </c>
      <c r="E49" s="23">
        <f t="shared" si="19"/>
        <v>39692.0965</v>
      </c>
      <c r="F49" s="23">
        <f>F50+F51</f>
        <v>0</v>
      </c>
      <c r="G49" s="23">
        <f t="shared" ref="G49:L49" si="20">G50+G51</f>
        <v>0</v>
      </c>
      <c r="H49" s="23">
        <f t="shared" si="20"/>
        <v>39692.0965</v>
      </c>
      <c r="I49" s="23">
        <f t="shared" si="20"/>
        <v>0</v>
      </c>
      <c r="J49" s="23">
        <f t="shared" si="20"/>
        <v>0</v>
      </c>
      <c r="K49" s="23">
        <f t="shared" ref="K49" si="21">K50+K51</f>
        <v>0</v>
      </c>
      <c r="L49" s="23">
        <f t="shared" si="20"/>
        <v>0</v>
      </c>
    </row>
    <row r="50" spans="1:14" ht="29.25" customHeight="1" x14ac:dyDescent="0.25">
      <c r="A50" s="93"/>
      <c r="B50" s="93"/>
      <c r="C50" s="96"/>
      <c r="D50" s="14" t="s">
        <v>35</v>
      </c>
      <c r="E50" s="29">
        <f t="shared" si="19"/>
        <v>11499.496499999999</v>
      </c>
      <c r="F50" s="29"/>
      <c r="G50" s="29"/>
      <c r="H50" s="29">
        <f>11736-236.5035</f>
        <v>11499.496499999999</v>
      </c>
      <c r="I50" s="29"/>
      <c r="J50" s="29">
        <v>0</v>
      </c>
      <c r="K50" s="29">
        <v>0</v>
      </c>
      <c r="L50" s="29">
        <v>0</v>
      </c>
    </row>
    <row r="51" spans="1:14" ht="29.25" customHeight="1" x14ac:dyDescent="0.25">
      <c r="A51" s="94"/>
      <c r="B51" s="94"/>
      <c r="C51" s="97"/>
      <c r="D51" s="14" t="s">
        <v>19</v>
      </c>
      <c r="E51" s="29">
        <f t="shared" si="19"/>
        <v>28192.6</v>
      </c>
      <c r="F51" s="29"/>
      <c r="G51" s="29"/>
      <c r="H51" s="29">
        <f>3000+25192.6</f>
        <v>28192.6</v>
      </c>
      <c r="I51" s="29"/>
      <c r="J51" s="29">
        <v>0</v>
      </c>
      <c r="K51" s="29">
        <v>0</v>
      </c>
      <c r="L51" s="29">
        <v>0</v>
      </c>
    </row>
    <row r="52" spans="1:14" ht="29.25" customHeight="1" x14ac:dyDescent="0.25">
      <c r="A52" s="79"/>
      <c r="B52" s="92"/>
      <c r="C52" s="95" t="s">
        <v>89</v>
      </c>
      <c r="D52" s="13" t="s">
        <v>21</v>
      </c>
      <c r="E52" s="23">
        <f>E53+E58</f>
        <v>14475.7</v>
      </c>
      <c r="F52" s="23">
        <f t="shared" ref="F52:I52" si="22">F53+F58</f>
        <v>0</v>
      </c>
      <c r="G52" s="23">
        <f t="shared" si="22"/>
        <v>0</v>
      </c>
      <c r="H52" s="23">
        <f t="shared" si="22"/>
        <v>0</v>
      </c>
      <c r="I52" s="23">
        <f t="shared" si="22"/>
        <v>14475.7</v>
      </c>
      <c r="J52" s="23">
        <f>J53+J58</f>
        <v>0</v>
      </c>
      <c r="K52" s="23">
        <f>K53+K58</f>
        <v>0</v>
      </c>
      <c r="L52" s="23">
        <f>L53+L58</f>
        <v>0</v>
      </c>
    </row>
    <row r="53" spans="1:14" ht="46.5" customHeight="1" x14ac:dyDescent="0.25">
      <c r="A53" s="83"/>
      <c r="B53" s="93"/>
      <c r="C53" s="96"/>
      <c r="D53" s="14" t="s">
        <v>19</v>
      </c>
      <c r="E53" s="29">
        <f t="shared" si="19"/>
        <v>3602.8999999999996</v>
      </c>
      <c r="F53" s="29">
        <v>0</v>
      </c>
      <c r="G53" s="29">
        <v>0</v>
      </c>
      <c r="H53" s="29">
        <v>0</v>
      </c>
      <c r="I53" s="29">
        <f>4902.9-1300</f>
        <v>3602.8999999999996</v>
      </c>
      <c r="J53" s="29">
        <v>0</v>
      </c>
      <c r="K53" s="29">
        <v>0</v>
      </c>
      <c r="L53" s="29">
        <v>0</v>
      </c>
    </row>
    <row r="54" spans="1:14" ht="32.25" hidden="1" customHeight="1" x14ac:dyDescent="0.25">
      <c r="A54" s="83"/>
      <c r="B54" s="93"/>
      <c r="C54" s="96"/>
      <c r="D54" s="14" t="s">
        <v>19</v>
      </c>
      <c r="E54" s="29">
        <f t="shared" si="19"/>
        <v>0</v>
      </c>
      <c r="F54" s="29">
        <v>0</v>
      </c>
      <c r="G54" s="29">
        <f>13396.4-13396.4</f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</row>
    <row r="55" spans="1:14" ht="29.25" hidden="1" customHeight="1" x14ac:dyDescent="0.25">
      <c r="A55" s="83"/>
      <c r="B55" s="93"/>
      <c r="C55" s="96"/>
      <c r="D55" s="14" t="s">
        <v>19</v>
      </c>
      <c r="E55" s="29">
        <f t="shared" si="19"/>
        <v>0</v>
      </c>
      <c r="F55" s="29">
        <v>0</v>
      </c>
      <c r="G55" s="29">
        <f>20000-20000</f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</row>
    <row r="56" spans="1:14" ht="29.25" hidden="1" customHeight="1" x14ac:dyDescent="0.25">
      <c r="A56" s="83"/>
      <c r="B56" s="93"/>
      <c r="C56" s="96"/>
      <c r="D56" s="14" t="s">
        <v>19</v>
      </c>
      <c r="E56" s="29">
        <f t="shared" si="19"/>
        <v>0</v>
      </c>
      <c r="F56" s="29">
        <v>0</v>
      </c>
      <c r="G56" s="29">
        <f>2757.7-2757.7</f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</row>
    <row r="57" spans="1:14" ht="30.75" hidden="1" customHeight="1" x14ac:dyDescent="0.25">
      <c r="A57" s="83"/>
      <c r="B57" s="93"/>
      <c r="C57" s="96"/>
      <c r="D57" s="14" t="s">
        <v>19</v>
      </c>
      <c r="E57" s="29">
        <f t="shared" si="19"/>
        <v>0</v>
      </c>
      <c r="F57" s="22">
        <v>0</v>
      </c>
      <c r="G57" s="22">
        <v>0</v>
      </c>
      <c r="H57" s="22">
        <v>0</v>
      </c>
      <c r="I57" s="22">
        <v>0</v>
      </c>
      <c r="J57" s="29">
        <v>0</v>
      </c>
      <c r="K57" s="29">
        <v>0</v>
      </c>
      <c r="L57" s="29">
        <v>0</v>
      </c>
      <c r="M57" s="3"/>
    </row>
    <row r="58" spans="1:14" ht="30.75" customHeight="1" x14ac:dyDescent="0.25">
      <c r="A58" s="83"/>
      <c r="B58" s="94"/>
      <c r="C58" s="97"/>
      <c r="D58" s="14" t="s">
        <v>35</v>
      </c>
      <c r="E58" s="29">
        <f t="shared" si="19"/>
        <v>10872.800000000001</v>
      </c>
      <c r="F58" s="22"/>
      <c r="G58" s="22"/>
      <c r="H58" s="22"/>
      <c r="I58" s="22">
        <f>11440-1800-489+224.6+1497.2</f>
        <v>10872.800000000001</v>
      </c>
      <c r="J58" s="29">
        <v>0</v>
      </c>
      <c r="K58" s="29">
        <v>0</v>
      </c>
      <c r="L58" s="29">
        <v>0</v>
      </c>
      <c r="M58" s="3"/>
    </row>
    <row r="59" spans="1:14" ht="29.25" customHeight="1" x14ac:dyDescent="0.25">
      <c r="A59" s="83"/>
      <c r="B59" s="14"/>
      <c r="C59" s="14" t="s">
        <v>38</v>
      </c>
      <c r="D59" s="14" t="s">
        <v>19</v>
      </c>
      <c r="E59" s="29">
        <f t="shared" si="19"/>
        <v>17983.54</v>
      </c>
      <c r="F59" s="22">
        <f>3065.71-50+50-3003.33-62.38</f>
        <v>1.0658141036401503E-13</v>
      </c>
      <c r="G59" s="22">
        <f>3003.4-191-200-84.9</f>
        <v>2527.5</v>
      </c>
      <c r="H59" s="22">
        <f>4.1+10267.34</f>
        <v>10271.44</v>
      </c>
      <c r="I59" s="22">
        <f>125.8+5058.8</f>
        <v>5184.6000000000004</v>
      </c>
      <c r="J59" s="29">
        <v>0</v>
      </c>
      <c r="K59" s="29">
        <v>0</v>
      </c>
      <c r="L59" s="29">
        <v>0</v>
      </c>
      <c r="M59" s="4"/>
    </row>
    <row r="60" spans="1:14" ht="30.75" customHeight="1" x14ac:dyDescent="0.25">
      <c r="A60" s="83"/>
      <c r="B60" s="14"/>
      <c r="C60" s="14" t="s">
        <v>39</v>
      </c>
      <c r="D60" s="14" t="s">
        <v>19</v>
      </c>
      <c r="E60" s="29">
        <f t="shared" si="19"/>
        <v>45.435000000000002</v>
      </c>
      <c r="F60" s="22">
        <f>50+50-54.565</f>
        <v>45.435000000000002</v>
      </c>
      <c r="G60" s="22">
        <v>0</v>
      </c>
      <c r="H60" s="22">
        <v>0</v>
      </c>
      <c r="I60" s="22">
        <v>0</v>
      </c>
      <c r="J60" s="29">
        <v>0</v>
      </c>
      <c r="K60" s="29">
        <v>0</v>
      </c>
      <c r="L60" s="29">
        <v>0</v>
      </c>
    </row>
    <row r="61" spans="1:14" ht="30" hidden="1" customHeight="1" x14ac:dyDescent="0.25">
      <c r="A61" s="83"/>
      <c r="B61" s="14"/>
      <c r="C61" s="14"/>
      <c r="D61" s="14" t="s">
        <v>19</v>
      </c>
      <c r="E61" s="29">
        <f t="shared" si="19"/>
        <v>0</v>
      </c>
      <c r="F61" s="22">
        <v>0</v>
      </c>
      <c r="G61" s="22">
        <v>0</v>
      </c>
      <c r="H61" s="22">
        <f>50050-50050</f>
        <v>0</v>
      </c>
      <c r="I61" s="22">
        <v>0</v>
      </c>
      <c r="J61" s="29"/>
      <c r="K61" s="29"/>
      <c r="L61" s="29"/>
    </row>
    <row r="62" spans="1:14" ht="16.5" customHeight="1" x14ac:dyDescent="0.25">
      <c r="A62" s="92"/>
      <c r="B62" s="92"/>
      <c r="C62" s="95" t="s">
        <v>40</v>
      </c>
      <c r="D62" s="13" t="s">
        <v>21</v>
      </c>
      <c r="E62" s="38">
        <f>SUM(F62:L62)</f>
        <v>247414.64301</v>
      </c>
      <c r="F62" s="38">
        <f>F63</f>
        <v>0</v>
      </c>
      <c r="G62" s="38">
        <f>G63+G65+G66</f>
        <v>15744.8336</v>
      </c>
      <c r="H62" s="38">
        <f>H63+H66+H65</f>
        <v>201434.61</v>
      </c>
      <c r="I62" s="38">
        <f t="shared" ref="I62:L62" si="23">I63</f>
        <v>30235.199409999997</v>
      </c>
      <c r="J62" s="23">
        <f t="shared" si="23"/>
        <v>0</v>
      </c>
      <c r="K62" s="23">
        <f t="shared" si="23"/>
        <v>0</v>
      </c>
      <c r="L62" s="23">
        <f t="shared" si="23"/>
        <v>0</v>
      </c>
      <c r="N62" s="5"/>
    </row>
    <row r="63" spans="1:14" ht="30.75" customHeight="1" x14ac:dyDescent="0.25">
      <c r="A63" s="93"/>
      <c r="B63" s="93"/>
      <c r="C63" s="96"/>
      <c r="D63" s="14" t="s">
        <v>19</v>
      </c>
      <c r="E63" s="22">
        <f>F63+G63+H63+I63+J63+L63</f>
        <v>91143.434039999993</v>
      </c>
      <c r="F63" s="22">
        <v>0</v>
      </c>
      <c r="G63" s="22">
        <f>10600-2715.37537</f>
        <v>7884.6246300000003</v>
      </c>
      <c r="H63" s="22">
        <f>21570.7+4631.8+25321.11+1500</f>
        <v>53023.61</v>
      </c>
      <c r="I63" s="22">
        <f>35500.1-275.6-200-2500-183.8-905-396.74-65-738.76059</f>
        <v>30235.199409999997</v>
      </c>
      <c r="J63" s="29">
        <v>0</v>
      </c>
      <c r="K63" s="29">
        <v>0</v>
      </c>
      <c r="L63" s="29">
        <v>0</v>
      </c>
      <c r="M63" s="6"/>
      <c r="N63" s="5"/>
    </row>
    <row r="64" spans="1:14" ht="59.25" hidden="1" customHeight="1" x14ac:dyDescent="0.25">
      <c r="A64" s="94"/>
      <c r="B64" s="94"/>
      <c r="C64" s="96"/>
      <c r="D64" s="14"/>
      <c r="E64" s="22">
        <f t="shared" ref="E64:E72" si="24">F64+G64+H64+I64+J64+L64</f>
        <v>0</v>
      </c>
      <c r="F64" s="22"/>
      <c r="G64" s="22"/>
      <c r="H64" s="22"/>
      <c r="I64" s="22"/>
      <c r="J64" s="29">
        <v>0</v>
      </c>
      <c r="K64" s="29">
        <v>0</v>
      </c>
      <c r="L64" s="29">
        <v>0</v>
      </c>
      <c r="N64" s="5"/>
    </row>
    <row r="65" spans="1:14" ht="33.75" customHeight="1" x14ac:dyDescent="0.25">
      <c r="A65" s="78"/>
      <c r="B65" s="78"/>
      <c r="C65" s="96"/>
      <c r="D65" s="14" t="s">
        <v>69</v>
      </c>
      <c r="E65" s="22">
        <f>SUM(F65:L65)</f>
        <v>56471.20897</v>
      </c>
      <c r="F65" s="22" t="s">
        <v>68</v>
      </c>
      <c r="G65" s="22">
        <v>4671.2089699999997</v>
      </c>
      <c r="H65" s="22">
        <f>30000+21800</f>
        <v>51800</v>
      </c>
      <c r="I65" s="22" t="s">
        <v>68</v>
      </c>
      <c r="J65" s="29">
        <v>0</v>
      </c>
      <c r="K65" s="29">
        <v>0</v>
      </c>
      <c r="L65" s="29">
        <v>0</v>
      </c>
      <c r="M65" s="3"/>
      <c r="N65" s="5"/>
    </row>
    <row r="66" spans="1:14" ht="38.25" customHeight="1" x14ac:dyDescent="0.25">
      <c r="A66" s="78"/>
      <c r="B66" s="78"/>
      <c r="C66" s="97"/>
      <c r="D66" s="14" t="s">
        <v>15</v>
      </c>
      <c r="E66" s="22">
        <f>SUM(F66:L66)</f>
        <v>99800</v>
      </c>
      <c r="F66" s="22" t="s">
        <v>68</v>
      </c>
      <c r="G66" s="22">
        <f>15000-11811</f>
        <v>3189</v>
      </c>
      <c r="H66" s="22">
        <f>84800+11811</f>
        <v>96611</v>
      </c>
      <c r="I66" s="22" t="s">
        <v>68</v>
      </c>
      <c r="J66" s="29">
        <v>0</v>
      </c>
      <c r="K66" s="29">
        <v>0</v>
      </c>
      <c r="L66" s="29">
        <v>0</v>
      </c>
      <c r="N66" s="5"/>
    </row>
    <row r="67" spans="1:14" ht="30" x14ac:dyDescent="0.25">
      <c r="A67" s="62"/>
      <c r="B67" s="41"/>
      <c r="C67" s="41" t="s">
        <v>41</v>
      </c>
      <c r="D67" s="14" t="s">
        <v>19</v>
      </c>
      <c r="E67" s="22">
        <f t="shared" si="24"/>
        <v>689</v>
      </c>
      <c r="F67" s="22">
        <f>98-98</f>
        <v>0</v>
      </c>
      <c r="G67" s="22">
        <f>8200-7000-500-11</f>
        <v>689</v>
      </c>
      <c r="H67" s="22">
        <f>7700-7700</f>
        <v>0</v>
      </c>
      <c r="I67" s="22">
        <v>0</v>
      </c>
      <c r="J67" s="29">
        <v>0</v>
      </c>
      <c r="K67" s="29">
        <v>0</v>
      </c>
      <c r="L67" s="29">
        <v>0</v>
      </c>
    </row>
    <row r="68" spans="1:14" ht="30" x14ac:dyDescent="0.25">
      <c r="A68" s="62"/>
      <c r="B68" s="41"/>
      <c r="C68" s="41" t="s">
        <v>42</v>
      </c>
      <c r="D68" s="14" t="s">
        <v>19</v>
      </c>
      <c r="E68" s="22">
        <f t="shared" si="24"/>
        <v>7093.38</v>
      </c>
      <c r="F68" s="22">
        <v>0</v>
      </c>
      <c r="G68" s="22">
        <f>610.8+650-300-79.4</f>
        <v>881.4</v>
      </c>
      <c r="H68" s="22">
        <f>34-20</f>
        <v>14</v>
      </c>
      <c r="I68" s="22">
        <f>3000-3000+48.98</f>
        <v>48.98</v>
      </c>
      <c r="J68" s="29">
        <v>6149</v>
      </c>
      <c r="K68" s="29">
        <v>0</v>
      </c>
      <c r="L68" s="29">
        <v>0</v>
      </c>
    </row>
    <row r="69" spans="1:14" ht="15.75" x14ac:dyDescent="0.25">
      <c r="A69" s="92"/>
      <c r="B69" s="92"/>
      <c r="C69" s="95" t="s">
        <v>61</v>
      </c>
      <c r="D69" s="42" t="s">
        <v>21</v>
      </c>
      <c r="E69" s="38">
        <f>F69+G69+H69+I69+J69+L69</f>
        <v>458428.14332999999</v>
      </c>
      <c r="F69" s="38">
        <f>F70+F71+F72</f>
        <v>0</v>
      </c>
      <c r="G69" s="38">
        <f t="shared" ref="G69:L69" si="25">G70+G71+G72</f>
        <v>3800</v>
      </c>
      <c r="H69" s="38">
        <f t="shared" si="25"/>
        <v>54940.181369999998</v>
      </c>
      <c r="I69" s="38">
        <f t="shared" si="25"/>
        <v>355528.36196000001</v>
      </c>
      <c r="J69" s="23">
        <f t="shared" si="25"/>
        <v>44159.6</v>
      </c>
      <c r="K69" s="23">
        <f t="shared" ref="K69" si="26">K70+K71+K72</f>
        <v>0</v>
      </c>
      <c r="L69" s="23">
        <f t="shared" si="25"/>
        <v>0</v>
      </c>
    </row>
    <row r="70" spans="1:14" ht="30" x14ac:dyDescent="0.25">
      <c r="A70" s="93"/>
      <c r="B70" s="93"/>
      <c r="C70" s="96"/>
      <c r="D70" s="14" t="s">
        <v>19</v>
      </c>
      <c r="E70" s="22">
        <f t="shared" si="24"/>
        <v>128059.86072</v>
      </c>
      <c r="F70" s="22">
        <v>0</v>
      </c>
      <c r="G70" s="22">
        <f>5000-1200</f>
        <v>3800</v>
      </c>
      <c r="H70" s="22">
        <f>20000+10000+30000-1000-4059.81863</f>
        <v>54940.181369999998</v>
      </c>
      <c r="I70" s="29">
        <f>23219.63+1000+1553.17435-153.906-447.919-10.9</f>
        <v>25160.07935</v>
      </c>
      <c r="J70" s="29">
        <v>44159.6</v>
      </c>
      <c r="K70" s="29">
        <v>0</v>
      </c>
      <c r="L70" s="29">
        <v>0</v>
      </c>
      <c r="M70" s="2"/>
    </row>
    <row r="71" spans="1:14" ht="30.75" customHeight="1" x14ac:dyDescent="0.25">
      <c r="A71" s="93"/>
      <c r="B71" s="93"/>
      <c r="C71" s="96"/>
      <c r="D71" s="14" t="s">
        <v>14</v>
      </c>
      <c r="E71" s="22">
        <f t="shared" si="24"/>
        <v>10432.68261</v>
      </c>
      <c r="F71" s="22"/>
      <c r="G71" s="22"/>
      <c r="H71" s="22"/>
      <c r="I71" s="22">
        <v>10432.68261</v>
      </c>
      <c r="J71" s="29">
        <v>0</v>
      </c>
      <c r="K71" s="29">
        <v>0</v>
      </c>
      <c r="L71" s="29">
        <v>0</v>
      </c>
      <c r="M71" s="73"/>
    </row>
    <row r="72" spans="1:14" ht="30" x14ac:dyDescent="0.25">
      <c r="A72" s="94"/>
      <c r="B72" s="94"/>
      <c r="C72" s="97"/>
      <c r="D72" s="14" t="s">
        <v>15</v>
      </c>
      <c r="E72" s="22">
        <f t="shared" si="24"/>
        <v>319935.59999999998</v>
      </c>
      <c r="F72" s="22"/>
      <c r="G72" s="22"/>
      <c r="H72" s="22"/>
      <c r="I72" s="22">
        <v>319935.59999999998</v>
      </c>
      <c r="J72" s="29">
        <v>0</v>
      </c>
      <c r="K72" s="29">
        <v>0</v>
      </c>
      <c r="L72" s="29">
        <v>0</v>
      </c>
      <c r="M72" s="2"/>
    </row>
    <row r="73" spans="1:14" x14ac:dyDescent="0.25">
      <c r="A73" s="92"/>
      <c r="B73" s="92"/>
      <c r="C73" s="95" t="s">
        <v>62</v>
      </c>
      <c r="D73" s="34" t="s">
        <v>21</v>
      </c>
      <c r="E73" s="38">
        <f>SUM(F73:L73)</f>
        <v>105669.33688</v>
      </c>
      <c r="F73" s="38">
        <f>F74+F75</f>
        <v>0</v>
      </c>
      <c r="G73" s="38">
        <f>G74+G75</f>
        <v>50048.83</v>
      </c>
      <c r="H73" s="38">
        <f>H74+H75</f>
        <v>55620.506880000001</v>
      </c>
      <c r="I73" s="38">
        <f t="shared" ref="I73:L73" si="27">I74+I75</f>
        <v>0</v>
      </c>
      <c r="J73" s="23">
        <f t="shared" si="27"/>
        <v>0</v>
      </c>
      <c r="K73" s="23">
        <f t="shared" ref="K73" si="28">K74+K75</f>
        <v>0</v>
      </c>
      <c r="L73" s="23">
        <f t="shared" si="27"/>
        <v>0</v>
      </c>
    </row>
    <row r="74" spans="1:14" ht="30" x14ac:dyDescent="0.25">
      <c r="A74" s="93"/>
      <c r="B74" s="93"/>
      <c r="C74" s="96"/>
      <c r="D74" s="14" t="s">
        <v>19</v>
      </c>
      <c r="E74" s="22">
        <f>SUM(F74:L74)</f>
        <v>55669.336880000003</v>
      </c>
      <c r="F74" s="22">
        <v>0</v>
      </c>
      <c r="G74" s="22">
        <v>25048.83</v>
      </c>
      <c r="H74" s="22">
        <f>25000+8894-1500-1433.283-340.21012</f>
        <v>30620.506880000001</v>
      </c>
      <c r="I74" s="22">
        <v>0</v>
      </c>
      <c r="J74" s="29">
        <v>0</v>
      </c>
      <c r="K74" s="29">
        <v>0</v>
      </c>
      <c r="L74" s="29">
        <v>0</v>
      </c>
      <c r="M74" s="7"/>
    </row>
    <row r="75" spans="1:14" ht="45" x14ac:dyDescent="0.25">
      <c r="A75" s="94"/>
      <c r="B75" s="94"/>
      <c r="C75" s="97"/>
      <c r="D75" s="14" t="s">
        <v>14</v>
      </c>
      <c r="E75" s="22">
        <f t="shared" ref="E75:E76" si="29">SUM(F75:L75)</f>
        <v>50000</v>
      </c>
      <c r="F75" s="22">
        <v>0</v>
      </c>
      <c r="G75" s="22">
        <v>25000</v>
      </c>
      <c r="H75" s="22">
        <v>25000</v>
      </c>
      <c r="I75" s="22">
        <v>0</v>
      </c>
      <c r="J75" s="29">
        <v>0</v>
      </c>
      <c r="K75" s="29">
        <v>0</v>
      </c>
      <c r="L75" s="29">
        <v>0</v>
      </c>
    </row>
    <row r="76" spans="1:14" ht="30" x14ac:dyDescent="0.25">
      <c r="A76" s="76"/>
      <c r="B76" s="76"/>
      <c r="C76" s="82" t="s">
        <v>64</v>
      </c>
      <c r="D76" s="14" t="s">
        <v>19</v>
      </c>
      <c r="E76" s="22">
        <f t="shared" si="29"/>
        <v>5000</v>
      </c>
      <c r="F76" s="22">
        <v>0</v>
      </c>
      <c r="G76" s="22">
        <v>5000</v>
      </c>
      <c r="H76" s="22">
        <v>0</v>
      </c>
      <c r="I76" s="22">
        <v>0</v>
      </c>
      <c r="J76" s="29">
        <v>0</v>
      </c>
      <c r="K76" s="29">
        <v>0</v>
      </c>
      <c r="L76" s="29">
        <v>0</v>
      </c>
    </row>
    <row r="77" spans="1:14" x14ac:dyDescent="0.25">
      <c r="A77" s="92"/>
      <c r="B77" s="91"/>
      <c r="C77" s="95" t="s">
        <v>65</v>
      </c>
      <c r="D77" s="34" t="s">
        <v>21</v>
      </c>
      <c r="E77" s="38">
        <f>SUM(F77:L77)</f>
        <v>427525.89214999997</v>
      </c>
      <c r="F77" s="38">
        <f>F78+F79</f>
        <v>0</v>
      </c>
      <c r="G77" s="38">
        <f>G78+G79</f>
        <v>327805.56</v>
      </c>
      <c r="H77" s="38">
        <f t="shared" ref="H77:I77" si="30">H78+H79</f>
        <v>99720.332150000002</v>
      </c>
      <c r="I77" s="38">
        <f t="shared" si="30"/>
        <v>0</v>
      </c>
      <c r="J77" s="23">
        <f>J78</f>
        <v>0</v>
      </c>
      <c r="K77" s="23">
        <f>K78</f>
        <v>0</v>
      </c>
      <c r="L77" s="23">
        <f>L78</f>
        <v>0</v>
      </c>
    </row>
    <row r="78" spans="1:14" ht="30" x14ac:dyDescent="0.25">
      <c r="A78" s="93"/>
      <c r="B78" s="91"/>
      <c r="C78" s="96"/>
      <c r="D78" s="14" t="s">
        <v>19</v>
      </c>
      <c r="E78" s="22">
        <f t="shared" ref="E78:E79" si="31">SUM(F78:L78)</f>
        <v>42800.89215</v>
      </c>
      <c r="F78" s="22">
        <v>0</v>
      </c>
      <c r="G78" s="22">
        <f>43874.83-11094.27</f>
        <v>32780.559999999998</v>
      </c>
      <c r="H78" s="22">
        <f>9016.8+1705.7-29.7-672.46785</f>
        <v>10020.332149999998</v>
      </c>
      <c r="I78" s="22"/>
      <c r="J78" s="29">
        <v>0</v>
      </c>
      <c r="K78" s="29">
        <v>0</v>
      </c>
      <c r="L78" s="29">
        <v>0</v>
      </c>
      <c r="M78" s="7"/>
    </row>
    <row r="79" spans="1:14" ht="30" x14ac:dyDescent="0.25">
      <c r="A79" s="94"/>
      <c r="B79" s="91"/>
      <c r="C79" s="97"/>
      <c r="D79" s="14" t="s">
        <v>15</v>
      </c>
      <c r="E79" s="22">
        <f t="shared" si="31"/>
        <v>384725</v>
      </c>
      <c r="F79" s="22"/>
      <c r="G79" s="22">
        <f>394873.44-99848.44</f>
        <v>295025</v>
      </c>
      <c r="H79" s="22">
        <v>89700</v>
      </c>
      <c r="I79" s="22"/>
      <c r="J79" s="29">
        <v>0</v>
      </c>
      <c r="K79" s="29">
        <v>0</v>
      </c>
      <c r="L79" s="29">
        <v>0</v>
      </c>
    </row>
    <row r="80" spans="1:14" x14ac:dyDescent="0.25">
      <c r="A80" s="92"/>
      <c r="B80" s="91"/>
      <c r="C80" s="100" t="s">
        <v>75</v>
      </c>
      <c r="D80" s="13" t="s">
        <v>21</v>
      </c>
      <c r="E80" s="38">
        <f>F80+G80+H80+I80+J80+L80+K80</f>
        <v>26398.7</v>
      </c>
      <c r="F80" s="38">
        <f>F81+F82+F83</f>
        <v>0</v>
      </c>
      <c r="G80" s="38">
        <f t="shared" ref="G80:L80" si="32">G81+G82+G83</f>
        <v>25000</v>
      </c>
      <c r="H80" s="38">
        <f t="shared" si="32"/>
        <v>400.00000000000182</v>
      </c>
      <c r="I80" s="38">
        <f>I81+I82+I83</f>
        <v>998.7</v>
      </c>
      <c r="J80" s="23">
        <f t="shared" si="32"/>
        <v>0</v>
      </c>
      <c r="K80" s="23">
        <f t="shared" ref="K80" si="33">K81+K82+K83</f>
        <v>0</v>
      </c>
      <c r="L80" s="23">
        <f t="shared" si="32"/>
        <v>0</v>
      </c>
    </row>
    <row r="81" spans="1:13" ht="25.5" hidden="1" customHeight="1" x14ac:dyDescent="0.25">
      <c r="A81" s="93"/>
      <c r="B81" s="91"/>
      <c r="C81" s="100"/>
      <c r="D81" s="14" t="s">
        <v>35</v>
      </c>
      <c r="E81" s="22">
        <f t="shared" ref="E81:E82" si="34">F81+G81+H81+I81+J81+L81</f>
        <v>0</v>
      </c>
      <c r="F81" s="22"/>
      <c r="G81" s="22"/>
      <c r="H81" s="22"/>
      <c r="I81" s="22"/>
      <c r="J81" s="29"/>
      <c r="K81" s="29"/>
      <c r="L81" s="29"/>
      <c r="M81" s="90"/>
    </row>
    <row r="82" spans="1:13" ht="30" hidden="1" x14ac:dyDescent="0.25">
      <c r="A82" s="93"/>
      <c r="B82" s="91"/>
      <c r="C82" s="100"/>
      <c r="D82" s="14" t="s">
        <v>15</v>
      </c>
      <c r="E82" s="22">
        <f t="shared" si="34"/>
        <v>0</v>
      </c>
      <c r="F82" s="22"/>
      <c r="G82" s="22"/>
      <c r="H82" s="22"/>
      <c r="I82" s="22"/>
      <c r="J82" s="29"/>
      <c r="K82" s="29"/>
      <c r="L82" s="29"/>
      <c r="M82" s="90"/>
    </row>
    <row r="83" spans="1:13" ht="30" x14ac:dyDescent="0.25">
      <c r="A83" s="93"/>
      <c r="B83" s="91"/>
      <c r="C83" s="100"/>
      <c r="D83" s="14" t="s">
        <v>19</v>
      </c>
      <c r="E83" s="22">
        <f>SUM(F83:L83)</f>
        <v>26398.7</v>
      </c>
      <c r="F83" s="22">
        <v>0</v>
      </c>
      <c r="G83" s="22">
        <v>25000</v>
      </c>
      <c r="H83" s="22">
        <f>30000-8460.98914-5000-9751.05573-6387.95513</f>
        <v>400.00000000000182</v>
      </c>
      <c r="I83" s="22">
        <f>1000-1.3</f>
        <v>998.7</v>
      </c>
      <c r="J83" s="29">
        <v>0</v>
      </c>
      <c r="K83" s="29">
        <v>0</v>
      </c>
      <c r="L83" s="29">
        <v>0</v>
      </c>
      <c r="M83" s="7"/>
    </row>
    <row r="84" spans="1:13" ht="30" x14ac:dyDescent="0.25">
      <c r="A84" s="78"/>
      <c r="B84" s="76"/>
      <c r="C84" s="82" t="s">
        <v>76</v>
      </c>
      <c r="D84" s="14" t="s">
        <v>19</v>
      </c>
      <c r="E84" s="22">
        <f>SUM(F84:L84)</f>
        <v>5413.8</v>
      </c>
      <c r="F84" s="22">
        <v>0</v>
      </c>
      <c r="G84" s="22">
        <f>5000+909.1-495.3</f>
        <v>5413.8</v>
      </c>
      <c r="H84" s="22">
        <v>0</v>
      </c>
      <c r="I84" s="22">
        <v>0</v>
      </c>
      <c r="J84" s="29">
        <v>0</v>
      </c>
      <c r="K84" s="29">
        <v>0</v>
      </c>
      <c r="L84" s="29">
        <v>0</v>
      </c>
    </row>
    <row r="85" spans="1:13" s="16" customFormat="1" x14ac:dyDescent="0.25">
      <c r="A85" s="93"/>
      <c r="B85" s="92"/>
      <c r="C85" s="95" t="s">
        <v>67</v>
      </c>
      <c r="D85" s="13" t="s">
        <v>21</v>
      </c>
      <c r="E85" s="38">
        <f>F85+G85+H85+I85+J85+L85</f>
        <v>92760.085020000013</v>
      </c>
      <c r="F85" s="38">
        <f>F86+F87+F88</f>
        <v>0</v>
      </c>
      <c r="G85" s="38">
        <f t="shared" ref="G85:J85" si="35">G86+G87+G88</f>
        <v>0</v>
      </c>
      <c r="H85" s="38">
        <f t="shared" si="35"/>
        <v>3649.9999999999995</v>
      </c>
      <c r="I85" s="38">
        <f t="shared" si="35"/>
        <v>85536.78502000001</v>
      </c>
      <c r="J85" s="23">
        <f t="shared" si="35"/>
        <v>3573.3</v>
      </c>
      <c r="K85" s="75">
        <v>0</v>
      </c>
      <c r="L85" s="75">
        <v>0</v>
      </c>
      <c r="M85" s="15"/>
    </row>
    <row r="86" spans="1:13" s="16" customFormat="1" ht="30" x14ac:dyDescent="0.25">
      <c r="A86" s="93"/>
      <c r="B86" s="93"/>
      <c r="C86" s="96"/>
      <c r="D86" s="14" t="s">
        <v>19</v>
      </c>
      <c r="E86" s="22">
        <f>SUM(F86:L86)</f>
        <v>7820.04</v>
      </c>
      <c r="F86" s="22">
        <v>0</v>
      </c>
      <c r="G86" s="22"/>
      <c r="H86" s="22">
        <f>4304.9-349.5-305.4</f>
        <v>3649.9999999999995</v>
      </c>
      <c r="I86" s="22">
        <f>196.74+400</f>
        <v>596.74</v>
      </c>
      <c r="J86" s="29">
        <v>3573.3</v>
      </c>
      <c r="K86" s="29">
        <v>0</v>
      </c>
      <c r="L86" s="29">
        <v>0</v>
      </c>
      <c r="M86" s="15"/>
    </row>
    <row r="87" spans="1:13" s="16" customFormat="1" ht="45" x14ac:dyDescent="0.25">
      <c r="A87" s="93"/>
      <c r="B87" s="93"/>
      <c r="C87" s="96"/>
      <c r="D87" s="14" t="s">
        <v>14</v>
      </c>
      <c r="E87" s="38">
        <f t="shared" ref="E87:E88" si="36">F87+G87+H87+I87+J87+L87</f>
        <v>25461.794559999998</v>
      </c>
      <c r="F87" s="22"/>
      <c r="G87" s="22"/>
      <c r="H87" s="22"/>
      <c r="I87" s="22">
        <f>5171.99456+20289.8</f>
        <v>25461.794559999998</v>
      </c>
      <c r="J87" s="29"/>
      <c r="K87" s="29">
        <v>0</v>
      </c>
      <c r="L87" s="29">
        <v>0</v>
      </c>
      <c r="M87" s="15"/>
    </row>
    <row r="88" spans="1:13" s="16" customFormat="1" ht="30" x14ac:dyDescent="0.25">
      <c r="A88" s="93"/>
      <c r="B88" s="94"/>
      <c r="C88" s="97"/>
      <c r="D88" s="14" t="s">
        <v>15</v>
      </c>
      <c r="E88" s="38">
        <f t="shared" si="36"/>
        <v>59478.250460000003</v>
      </c>
      <c r="F88" s="43"/>
      <c r="G88" s="43"/>
      <c r="H88" s="43"/>
      <c r="I88" s="44">
        <v>59478.250460000003</v>
      </c>
      <c r="J88" s="29">
        <v>0</v>
      </c>
      <c r="K88" s="29">
        <v>0</v>
      </c>
      <c r="L88" s="29">
        <v>0</v>
      </c>
      <c r="M88" s="15"/>
    </row>
    <row r="89" spans="1:13" ht="30" x14ac:dyDescent="0.25">
      <c r="A89" s="78"/>
      <c r="B89" s="77"/>
      <c r="C89" s="80" t="s">
        <v>93</v>
      </c>
      <c r="D89" s="14" t="s">
        <v>19</v>
      </c>
      <c r="E89" s="22">
        <f t="shared" ref="E89:E142" si="37">SUM(F89:L89)</f>
        <v>1756</v>
      </c>
      <c r="F89" s="22">
        <v>0</v>
      </c>
      <c r="G89" s="22"/>
      <c r="H89" s="22"/>
      <c r="I89" s="22">
        <f>2066.6-310.6</f>
        <v>1756</v>
      </c>
      <c r="J89" s="29">
        <v>0</v>
      </c>
      <c r="K89" s="29">
        <v>0</v>
      </c>
      <c r="L89" s="29">
        <v>0</v>
      </c>
      <c r="M89" s="7"/>
    </row>
    <row r="90" spans="1:13" ht="45" x14ac:dyDescent="0.25">
      <c r="A90" s="78"/>
      <c r="B90" s="77"/>
      <c r="C90" s="80" t="s">
        <v>117</v>
      </c>
      <c r="D90" s="14" t="s">
        <v>19</v>
      </c>
      <c r="E90" s="22">
        <f t="shared" si="37"/>
        <v>57126.5</v>
      </c>
      <c r="F90" s="22"/>
      <c r="G90" s="22"/>
      <c r="H90" s="22">
        <f>120-20.5</f>
        <v>99.5</v>
      </c>
      <c r="I90" s="22">
        <f>100-1</f>
        <v>99</v>
      </c>
      <c r="J90" s="29">
        <v>0</v>
      </c>
      <c r="K90" s="29">
        <v>0</v>
      </c>
      <c r="L90" s="29">
        <v>56928</v>
      </c>
      <c r="M90" s="7"/>
    </row>
    <row r="91" spans="1:13" s="16" customFormat="1" ht="30" x14ac:dyDescent="0.25">
      <c r="A91" s="78"/>
      <c r="B91" s="77"/>
      <c r="C91" s="80" t="s">
        <v>72</v>
      </c>
      <c r="D91" s="14" t="s">
        <v>19</v>
      </c>
      <c r="E91" s="22">
        <f t="shared" si="37"/>
        <v>31968.819000000003</v>
      </c>
      <c r="F91" s="22"/>
      <c r="G91" s="22"/>
      <c r="H91" s="22">
        <v>520.9</v>
      </c>
      <c r="I91" s="22">
        <f>3000+447.919+28000</f>
        <v>31447.919000000002</v>
      </c>
      <c r="J91" s="29">
        <f>32000-3552.081-447.919-28000</f>
        <v>0</v>
      </c>
      <c r="K91" s="29">
        <v>0</v>
      </c>
      <c r="L91" s="29">
        <v>0</v>
      </c>
      <c r="M91" s="17"/>
    </row>
    <row r="92" spans="1:13" ht="30" hidden="1" x14ac:dyDescent="0.25">
      <c r="A92" s="78"/>
      <c r="B92" s="77"/>
      <c r="C92" s="80"/>
      <c r="D92" s="14" t="s">
        <v>19</v>
      </c>
      <c r="E92" s="22">
        <f t="shared" si="37"/>
        <v>0</v>
      </c>
      <c r="F92" s="22"/>
      <c r="G92" s="22"/>
      <c r="H92" s="22"/>
      <c r="I92" s="22">
        <v>0</v>
      </c>
      <c r="J92" s="29"/>
      <c r="K92" s="29">
        <v>0</v>
      </c>
      <c r="L92" s="29">
        <v>0</v>
      </c>
      <c r="M92" s="3"/>
    </row>
    <row r="93" spans="1:13" ht="30" x14ac:dyDescent="0.25">
      <c r="A93" s="78"/>
      <c r="B93" s="77"/>
      <c r="C93" s="80" t="s">
        <v>77</v>
      </c>
      <c r="D93" s="14" t="s">
        <v>19</v>
      </c>
      <c r="E93" s="22">
        <f t="shared" si="37"/>
        <v>3980</v>
      </c>
      <c r="F93" s="22"/>
      <c r="G93" s="22"/>
      <c r="H93" s="22">
        <f>6000-2020</f>
        <v>3980</v>
      </c>
      <c r="I93" s="22"/>
      <c r="J93" s="29">
        <v>0</v>
      </c>
      <c r="K93" s="29">
        <v>0</v>
      </c>
      <c r="L93" s="29">
        <v>0</v>
      </c>
    </row>
    <row r="94" spans="1:13" ht="30" x14ac:dyDescent="0.25">
      <c r="A94" s="78"/>
      <c r="B94" s="77"/>
      <c r="C94" s="80" t="s">
        <v>73</v>
      </c>
      <c r="D94" s="14" t="s">
        <v>19</v>
      </c>
      <c r="E94" s="22">
        <f t="shared" si="37"/>
        <v>1633</v>
      </c>
      <c r="F94" s="22"/>
      <c r="G94" s="22"/>
      <c r="H94" s="22">
        <f>1666.3-33.3</f>
        <v>1633</v>
      </c>
      <c r="I94" s="22"/>
      <c r="J94" s="29">
        <v>0</v>
      </c>
      <c r="K94" s="29">
        <v>0</v>
      </c>
      <c r="L94" s="29">
        <v>0</v>
      </c>
    </row>
    <row r="95" spans="1:13" ht="30" x14ac:dyDescent="0.25">
      <c r="A95" s="78"/>
      <c r="B95" s="77"/>
      <c r="C95" s="80" t="s">
        <v>74</v>
      </c>
      <c r="D95" s="14" t="s">
        <v>19</v>
      </c>
      <c r="E95" s="22">
        <f t="shared" si="37"/>
        <v>5170</v>
      </c>
      <c r="F95" s="22"/>
      <c r="G95" s="22"/>
      <c r="H95" s="22">
        <f>5175.5-5.5</f>
        <v>5170</v>
      </c>
      <c r="I95" s="22"/>
      <c r="J95" s="29">
        <v>0</v>
      </c>
      <c r="K95" s="29">
        <v>0</v>
      </c>
      <c r="L95" s="29">
        <v>0</v>
      </c>
    </row>
    <row r="96" spans="1:13" ht="30" hidden="1" x14ac:dyDescent="0.25">
      <c r="A96" s="78"/>
      <c r="B96" s="77"/>
      <c r="C96" s="80"/>
      <c r="D96" s="14" t="s">
        <v>19</v>
      </c>
      <c r="E96" s="22">
        <f t="shared" si="37"/>
        <v>0</v>
      </c>
      <c r="F96" s="22"/>
      <c r="G96" s="22"/>
      <c r="H96" s="22"/>
      <c r="I96" s="22"/>
      <c r="J96" s="29">
        <v>0</v>
      </c>
      <c r="K96" s="29">
        <v>0</v>
      </c>
      <c r="L96" s="29">
        <v>0</v>
      </c>
    </row>
    <row r="97" spans="1:13" ht="30" x14ac:dyDescent="0.25">
      <c r="A97" s="78"/>
      <c r="B97" s="77"/>
      <c r="C97" s="80" t="s">
        <v>94</v>
      </c>
      <c r="D97" s="14" t="s">
        <v>19</v>
      </c>
      <c r="E97" s="22">
        <f t="shared" si="37"/>
        <v>79730.122999999992</v>
      </c>
      <c r="F97" s="22"/>
      <c r="G97" s="22"/>
      <c r="H97" s="22">
        <f>40000-39800</f>
        <v>200</v>
      </c>
      <c r="I97" s="22">
        <f>500+79365.7-285.577-50</f>
        <v>79530.122999999992</v>
      </c>
      <c r="J97" s="29">
        <v>0</v>
      </c>
      <c r="K97" s="29">
        <v>0</v>
      </c>
      <c r="L97" s="29">
        <v>0</v>
      </c>
      <c r="M97" s="7"/>
    </row>
    <row r="98" spans="1:13" ht="30" x14ac:dyDescent="0.25">
      <c r="A98" s="78"/>
      <c r="B98" s="77"/>
      <c r="C98" s="80" t="s">
        <v>81</v>
      </c>
      <c r="D98" s="14" t="s">
        <v>19</v>
      </c>
      <c r="E98" s="22">
        <f t="shared" si="37"/>
        <v>98</v>
      </c>
      <c r="F98" s="22"/>
      <c r="G98" s="22"/>
      <c r="H98" s="22">
        <v>98</v>
      </c>
      <c r="I98" s="22"/>
      <c r="J98" s="29">
        <v>0</v>
      </c>
      <c r="K98" s="29">
        <v>0</v>
      </c>
      <c r="L98" s="29">
        <v>0</v>
      </c>
    </row>
    <row r="99" spans="1:13" ht="30" x14ac:dyDescent="0.25">
      <c r="A99" s="78"/>
      <c r="B99" s="77"/>
      <c r="C99" s="80" t="s">
        <v>82</v>
      </c>
      <c r="D99" s="14" t="s">
        <v>19</v>
      </c>
      <c r="E99" s="22">
        <f t="shared" si="37"/>
        <v>99.503159999999994</v>
      </c>
      <c r="F99" s="22"/>
      <c r="G99" s="22"/>
      <c r="H99" s="22">
        <f>658.1-558.1-0.49684</f>
        <v>99.503159999999994</v>
      </c>
      <c r="I99" s="22">
        <f>808.1-808.1</f>
        <v>0</v>
      </c>
      <c r="J99" s="29">
        <v>0</v>
      </c>
      <c r="K99" s="29">
        <v>0</v>
      </c>
      <c r="L99" s="29">
        <v>0</v>
      </c>
      <c r="M99" s="7"/>
    </row>
    <row r="100" spans="1:13" ht="33.75" customHeight="1" x14ac:dyDescent="0.25">
      <c r="A100" s="78"/>
      <c r="B100" s="77"/>
      <c r="C100" s="80" t="s">
        <v>103</v>
      </c>
      <c r="D100" s="14" t="s">
        <v>19</v>
      </c>
      <c r="E100" s="24">
        <v>3200</v>
      </c>
      <c r="F100" s="22"/>
      <c r="G100" s="22"/>
      <c r="H100" s="22"/>
      <c r="I100" s="22">
        <v>3200</v>
      </c>
      <c r="J100" s="29">
        <v>0</v>
      </c>
      <c r="K100" s="29">
        <v>0</v>
      </c>
      <c r="L100" s="29">
        <v>0</v>
      </c>
      <c r="M100" s="7"/>
    </row>
    <row r="101" spans="1:13" ht="35.25" customHeight="1" x14ac:dyDescent="0.25">
      <c r="A101" s="78"/>
      <c r="B101" s="77"/>
      <c r="C101" s="80" t="s">
        <v>114</v>
      </c>
      <c r="D101" s="14" t="s">
        <v>19</v>
      </c>
      <c r="E101" s="22">
        <f>SUM(F101:L101)</f>
        <v>75000</v>
      </c>
      <c r="F101" s="22"/>
      <c r="G101" s="22"/>
      <c r="H101" s="22"/>
      <c r="I101" s="22">
        <v>25000</v>
      </c>
      <c r="J101" s="29">
        <v>50000</v>
      </c>
      <c r="K101" s="29">
        <v>0</v>
      </c>
      <c r="L101" s="29">
        <v>0</v>
      </c>
      <c r="M101" s="7"/>
    </row>
    <row r="102" spans="1:13" ht="17.25" customHeight="1" x14ac:dyDescent="0.25">
      <c r="A102" s="91"/>
      <c r="B102" s="92"/>
      <c r="C102" s="95" t="s">
        <v>95</v>
      </c>
      <c r="D102" s="13" t="s">
        <v>21</v>
      </c>
      <c r="E102" s="38">
        <f>F102+G102+H102+I102+J102+L102+K102</f>
        <v>174891.1</v>
      </c>
      <c r="F102" s="38">
        <f>F103+F104+F105</f>
        <v>0</v>
      </c>
      <c r="G102" s="38">
        <f t="shared" ref="G102:J102" si="38">G103+G104+G105</f>
        <v>0</v>
      </c>
      <c r="H102" s="38">
        <f t="shared" si="38"/>
        <v>0</v>
      </c>
      <c r="I102" s="38">
        <f t="shared" si="38"/>
        <v>100</v>
      </c>
      <c r="J102" s="23">
        <f t="shared" si="38"/>
        <v>0</v>
      </c>
      <c r="K102" s="23">
        <f t="shared" ref="K102" si="39">K103+K104+K105</f>
        <v>174791.1</v>
      </c>
      <c r="L102" s="75">
        <v>0</v>
      </c>
      <c r="M102" s="7"/>
    </row>
    <row r="103" spans="1:13" ht="36" customHeight="1" x14ac:dyDescent="0.25">
      <c r="A103" s="91"/>
      <c r="B103" s="93"/>
      <c r="C103" s="96"/>
      <c r="D103" s="14" t="s">
        <v>19</v>
      </c>
      <c r="E103" s="38">
        <f>F103+G103+H103+I103+J103+L103</f>
        <v>100</v>
      </c>
      <c r="F103" s="22"/>
      <c r="G103" s="22"/>
      <c r="H103" s="22"/>
      <c r="I103" s="22">
        <v>100</v>
      </c>
      <c r="J103" s="29">
        <v>0</v>
      </c>
      <c r="K103" s="29">
        <v>174791.1</v>
      </c>
      <c r="L103" s="29">
        <v>0</v>
      </c>
      <c r="M103" s="7"/>
    </row>
    <row r="104" spans="1:13" ht="27.75" customHeight="1" x14ac:dyDescent="0.25">
      <c r="A104" s="91"/>
      <c r="B104" s="93"/>
      <c r="C104" s="96"/>
      <c r="D104" s="14" t="s">
        <v>14</v>
      </c>
      <c r="E104" s="38">
        <f>F104+G104+H104+I104+J104+L104+K104</f>
        <v>0</v>
      </c>
      <c r="F104" s="22"/>
      <c r="G104" s="22"/>
      <c r="H104" s="22"/>
      <c r="I104" s="22"/>
      <c r="J104" s="29">
        <v>0</v>
      </c>
      <c r="K104" s="29">
        <v>0</v>
      </c>
      <c r="L104" s="29">
        <v>0</v>
      </c>
      <c r="M104" s="7"/>
    </row>
    <row r="105" spans="1:13" ht="27.75" customHeight="1" x14ac:dyDescent="0.25">
      <c r="A105" s="91"/>
      <c r="B105" s="94"/>
      <c r="C105" s="97"/>
      <c r="D105" s="14" t="s">
        <v>15</v>
      </c>
      <c r="E105" s="38">
        <f>F105+G105+H105+I105+J105+L105+K105</f>
        <v>0</v>
      </c>
      <c r="F105" s="22"/>
      <c r="G105" s="22"/>
      <c r="H105" s="22"/>
      <c r="I105" s="22"/>
      <c r="J105" s="29">
        <v>0</v>
      </c>
      <c r="K105" s="29">
        <v>0</v>
      </c>
      <c r="L105" s="29">
        <v>0</v>
      </c>
      <c r="M105" s="7"/>
    </row>
    <row r="106" spans="1:13" ht="27.75" customHeight="1" x14ac:dyDescent="0.25">
      <c r="A106" s="77"/>
      <c r="B106" s="76"/>
      <c r="C106" s="82" t="s">
        <v>96</v>
      </c>
      <c r="D106" s="14" t="s">
        <v>19</v>
      </c>
      <c r="E106" s="38">
        <f t="shared" ref="E106:E124" si="40">F106+G106+H106+I106+J106+L106</f>
        <v>10841.1</v>
      </c>
      <c r="F106" s="22"/>
      <c r="G106" s="22"/>
      <c r="H106" s="22"/>
      <c r="I106" s="22">
        <f>100-1</f>
        <v>99</v>
      </c>
      <c r="J106" s="29">
        <v>0</v>
      </c>
      <c r="K106" s="29">
        <v>0</v>
      </c>
      <c r="L106" s="29">
        <v>10742.1</v>
      </c>
      <c r="M106" s="7"/>
    </row>
    <row r="107" spans="1:13" ht="27.75" customHeight="1" x14ac:dyDescent="0.25">
      <c r="A107" s="77"/>
      <c r="B107" s="76"/>
      <c r="C107" s="82" t="s">
        <v>97</v>
      </c>
      <c r="D107" s="14" t="s">
        <v>19</v>
      </c>
      <c r="E107" s="38">
        <f t="shared" si="40"/>
        <v>106.79999999999995</v>
      </c>
      <c r="F107" s="22"/>
      <c r="G107" s="22"/>
      <c r="H107" s="22"/>
      <c r="I107" s="22">
        <f>100+423.3-416.5</f>
        <v>106.79999999999995</v>
      </c>
      <c r="J107" s="29">
        <v>0</v>
      </c>
      <c r="K107" s="29">
        <v>0</v>
      </c>
      <c r="L107" s="29">
        <v>0</v>
      </c>
      <c r="M107" s="7"/>
    </row>
    <row r="108" spans="1:13" s="12" customFormat="1" ht="27.75" customHeight="1" x14ac:dyDescent="0.25">
      <c r="A108" s="92"/>
      <c r="B108" s="92"/>
      <c r="C108" s="95" t="s">
        <v>101</v>
      </c>
      <c r="D108" s="13" t="s">
        <v>21</v>
      </c>
      <c r="E108" s="38">
        <f>F108+G108+H108+I108+J108+L108</f>
        <v>15463.4</v>
      </c>
      <c r="F108" s="38">
        <f>F109+F110+F111</f>
        <v>0</v>
      </c>
      <c r="G108" s="38">
        <f t="shared" ref="G108:L108" si="41">G109+G110+G111</f>
        <v>0</v>
      </c>
      <c r="H108" s="38">
        <f t="shared" si="41"/>
        <v>0</v>
      </c>
      <c r="I108" s="38">
        <f t="shared" si="41"/>
        <v>1950</v>
      </c>
      <c r="J108" s="23">
        <f t="shared" si="41"/>
        <v>13513.4</v>
      </c>
      <c r="K108" s="23">
        <f t="shared" ref="K108" si="42">K109+K110+K111</f>
        <v>0</v>
      </c>
      <c r="L108" s="23">
        <f t="shared" si="41"/>
        <v>0</v>
      </c>
      <c r="M108" s="11"/>
    </row>
    <row r="109" spans="1:13" s="12" customFormat="1" ht="27.75" customHeight="1" x14ac:dyDescent="0.25">
      <c r="A109" s="93"/>
      <c r="B109" s="93"/>
      <c r="C109" s="96"/>
      <c r="D109" s="14" t="s">
        <v>19</v>
      </c>
      <c r="E109" s="38">
        <f t="shared" si="40"/>
        <v>15463.4</v>
      </c>
      <c r="F109" s="22"/>
      <c r="G109" s="22"/>
      <c r="H109" s="22"/>
      <c r="I109" s="22">
        <f>2938.3-888.3-100</f>
        <v>1950</v>
      </c>
      <c r="J109" s="29">
        <v>13513.4</v>
      </c>
      <c r="K109" s="29">
        <v>0</v>
      </c>
      <c r="L109" s="29">
        <v>0</v>
      </c>
      <c r="M109" s="11"/>
    </row>
    <row r="110" spans="1:13" s="12" customFormat="1" ht="27.75" customHeight="1" x14ac:dyDescent="0.25">
      <c r="A110" s="93"/>
      <c r="B110" s="93"/>
      <c r="C110" s="96"/>
      <c r="D110" s="14" t="s">
        <v>14</v>
      </c>
      <c r="E110" s="38">
        <f t="shared" si="40"/>
        <v>0</v>
      </c>
      <c r="F110" s="22"/>
      <c r="G110" s="22"/>
      <c r="H110" s="22"/>
      <c r="I110" s="22"/>
      <c r="J110" s="29">
        <v>0</v>
      </c>
      <c r="K110" s="29">
        <v>0</v>
      </c>
      <c r="L110" s="29">
        <v>0</v>
      </c>
      <c r="M110" s="11"/>
    </row>
    <row r="111" spans="1:13" s="12" customFormat="1" ht="27.75" customHeight="1" x14ac:dyDescent="0.25">
      <c r="A111" s="94"/>
      <c r="B111" s="94"/>
      <c r="C111" s="97"/>
      <c r="D111" s="14" t="s">
        <v>15</v>
      </c>
      <c r="E111" s="38">
        <f t="shared" si="40"/>
        <v>0</v>
      </c>
      <c r="F111" s="43"/>
      <c r="G111" s="43"/>
      <c r="H111" s="43"/>
      <c r="I111" s="43"/>
      <c r="J111" s="29">
        <v>0</v>
      </c>
      <c r="K111" s="29">
        <v>0</v>
      </c>
      <c r="L111" s="29">
        <v>0</v>
      </c>
      <c r="M111" s="11"/>
    </row>
    <row r="112" spans="1:13" s="12" customFormat="1" ht="27.75" customHeight="1" x14ac:dyDescent="0.25">
      <c r="A112" s="92"/>
      <c r="B112" s="92"/>
      <c r="C112" s="95" t="s">
        <v>99</v>
      </c>
      <c r="D112" s="13" t="s">
        <v>21</v>
      </c>
      <c r="E112" s="38">
        <f>F112+G112+H112+I112+J112+L112</f>
        <v>15829</v>
      </c>
      <c r="F112" s="38">
        <f>F113+F114+F115</f>
        <v>0</v>
      </c>
      <c r="G112" s="38">
        <f t="shared" ref="G112:J112" si="43">G113+G114+G115</f>
        <v>0</v>
      </c>
      <c r="H112" s="38">
        <f t="shared" si="43"/>
        <v>0</v>
      </c>
      <c r="I112" s="38">
        <f t="shared" si="43"/>
        <v>365.6</v>
      </c>
      <c r="J112" s="23">
        <f t="shared" si="43"/>
        <v>15463.4</v>
      </c>
      <c r="K112" s="29">
        <v>0</v>
      </c>
      <c r="L112" s="29">
        <v>0</v>
      </c>
      <c r="M112" s="11"/>
    </row>
    <row r="113" spans="1:13" s="12" customFormat="1" ht="27.75" customHeight="1" x14ac:dyDescent="0.25">
      <c r="A113" s="93"/>
      <c r="B113" s="93"/>
      <c r="C113" s="96"/>
      <c r="D113" s="14" t="s">
        <v>19</v>
      </c>
      <c r="E113" s="38">
        <f>F113+G113+H113+I113+J113+L112</f>
        <v>15829</v>
      </c>
      <c r="F113" s="22"/>
      <c r="G113" s="22"/>
      <c r="H113" s="22"/>
      <c r="I113" s="22">
        <v>365.6</v>
      </c>
      <c r="J113" s="29">
        <v>15463.4</v>
      </c>
      <c r="K113" s="29">
        <v>0</v>
      </c>
      <c r="L113" s="29">
        <v>0</v>
      </c>
      <c r="M113" s="11"/>
    </row>
    <row r="114" spans="1:13" s="12" customFormat="1" ht="27.75" customHeight="1" x14ac:dyDescent="0.25">
      <c r="A114" s="93"/>
      <c r="B114" s="93"/>
      <c r="C114" s="96"/>
      <c r="D114" s="14" t="s">
        <v>14</v>
      </c>
      <c r="E114" s="38">
        <f t="shared" ref="E114:E115" si="44">F114+G114+H114+I114+J114+L114</f>
        <v>0</v>
      </c>
      <c r="F114" s="22"/>
      <c r="G114" s="22"/>
      <c r="H114" s="22"/>
      <c r="I114" s="22"/>
      <c r="J114" s="29">
        <v>0</v>
      </c>
      <c r="K114" s="29">
        <v>0</v>
      </c>
      <c r="L114" s="29">
        <v>0</v>
      </c>
      <c r="M114" s="11"/>
    </row>
    <row r="115" spans="1:13" ht="27.75" customHeight="1" x14ac:dyDescent="0.25">
      <c r="A115" s="94"/>
      <c r="B115" s="94"/>
      <c r="C115" s="97"/>
      <c r="D115" s="14" t="s">
        <v>15</v>
      </c>
      <c r="E115" s="38">
        <f t="shared" si="44"/>
        <v>0</v>
      </c>
      <c r="F115" s="43"/>
      <c r="G115" s="43"/>
      <c r="H115" s="43"/>
      <c r="I115" s="43"/>
      <c r="J115" s="29">
        <v>0</v>
      </c>
      <c r="K115" s="29">
        <v>0</v>
      </c>
      <c r="L115" s="29">
        <v>0</v>
      </c>
      <c r="M115" s="7"/>
    </row>
    <row r="116" spans="1:13" ht="27.75" customHeight="1" x14ac:dyDescent="0.25">
      <c r="A116" s="92"/>
      <c r="B116" s="92"/>
      <c r="C116" s="95" t="s">
        <v>100</v>
      </c>
      <c r="D116" s="13" t="s">
        <v>21</v>
      </c>
      <c r="E116" s="38">
        <f>F116+G116+H116+I116+J116+L116</f>
        <v>15814.3</v>
      </c>
      <c r="F116" s="38">
        <f>F117+F118+F119</f>
        <v>0</v>
      </c>
      <c r="G116" s="38">
        <f t="shared" ref="G116:J116" si="45">G117+G118+G119</f>
        <v>0</v>
      </c>
      <c r="H116" s="38">
        <f t="shared" si="45"/>
        <v>0</v>
      </c>
      <c r="I116" s="38">
        <f t="shared" si="45"/>
        <v>350.9</v>
      </c>
      <c r="J116" s="23">
        <f t="shared" si="45"/>
        <v>15463.4</v>
      </c>
      <c r="K116" s="29">
        <v>0</v>
      </c>
      <c r="L116" s="29">
        <v>0</v>
      </c>
      <c r="M116" s="7"/>
    </row>
    <row r="117" spans="1:13" ht="27.75" customHeight="1" x14ac:dyDescent="0.25">
      <c r="A117" s="93"/>
      <c r="B117" s="93"/>
      <c r="C117" s="96"/>
      <c r="D117" s="14" t="s">
        <v>19</v>
      </c>
      <c r="E117" s="38">
        <f>F117+G117+H117+I117+J117+L116</f>
        <v>15814.3</v>
      </c>
      <c r="F117" s="22"/>
      <c r="G117" s="22"/>
      <c r="H117" s="22"/>
      <c r="I117" s="22">
        <v>350.9</v>
      </c>
      <c r="J117" s="29">
        <v>15463.4</v>
      </c>
      <c r="K117" s="29">
        <v>0</v>
      </c>
      <c r="L117" s="29">
        <v>0</v>
      </c>
      <c r="M117" s="7"/>
    </row>
    <row r="118" spans="1:13" ht="27.75" customHeight="1" x14ac:dyDescent="0.25">
      <c r="A118" s="93"/>
      <c r="B118" s="93"/>
      <c r="C118" s="96"/>
      <c r="D118" s="14" t="s">
        <v>14</v>
      </c>
      <c r="E118" s="38">
        <f t="shared" ref="E118:E119" si="46">F118+G118+H118+I118+J118+L118</f>
        <v>0</v>
      </c>
      <c r="F118" s="22"/>
      <c r="G118" s="22"/>
      <c r="H118" s="22"/>
      <c r="I118" s="22"/>
      <c r="J118" s="29">
        <v>0</v>
      </c>
      <c r="K118" s="29">
        <v>0</v>
      </c>
      <c r="L118" s="29">
        <v>0</v>
      </c>
      <c r="M118" s="7"/>
    </row>
    <row r="119" spans="1:13" ht="27.75" customHeight="1" x14ac:dyDescent="0.25">
      <c r="A119" s="94"/>
      <c r="B119" s="94"/>
      <c r="C119" s="97"/>
      <c r="D119" s="14" t="s">
        <v>15</v>
      </c>
      <c r="E119" s="38">
        <f t="shared" si="46"/>
        <v>0</v>
      </c>
      <c r="F119" s="43"/>
      <c r="G119" s="43"/>
      <c r="H119" s="43"/>
      <c r="I119" s="43"/>
      <c r="J119" s="29">
        <v>0</v>
      </c>
      <c r="K119" s="29">
        <v>0</v>
      </c>
      <c r="L119" s="29">
        <v>0</v>
      </c>
      <c r="M119" s="7"/>
    </row>
    <row r="120" spans="1:13" ht="28.5" customHeight="1" x14ac:dyDescent="0.25">
      <c r="A120" s="77"/>
      <c r="B120" s="77"/>
      <c r="C120" s="80" t="s">
        <v>102</v>
      </c>
      <c r="D120" s="14" t="s">
        <v>19</v>
      </c>
      <c r="E120" s="38">
        <f t="shared" si="40"/>
        <v>129773.6</v>
      </c>
      <c r="F120" s="22"/>
      <c r="G120" s="22"/>
      <c r="H120" s="22"/>
      <c r="I120" s="25">
        <v>450</v>
      </c>
      <c r="J120" s="29">
        <v>5766.6</v>
      </c>
      <c r="K120" s="29">
        <v>0</v>
      </c>
      <c r="L120" s="29">
        <v>123557</v>
      </c>
      <c r="M120" s="7"/>
    </row>
    <row r="121" spans="1:13" ht="35.25" customHeight="1" x14ac:dyDescent="0.25">
      <c r="A121" s="77"/>
      <c r="B121" s="77"/>
      <c r="C121" s="80" t="s">
        <v>106</v>
      </c>
      <c r="D121" s="14" t="s">
        <v>19</v>
      </c>
      <c r="E121" s="38">
        <f>F121+G121+H121+I121+J121+L121+K121</f>
        <v>6000</v>
      </c>
      <c r="F121" s="22"/>
      <c r="G121" s="22"/>
      <c r="H121" s="22"/>
      <c r="I121" s="25">
        <v>100</v>
      </c>
      <c r="J121" s="29">
        <v>0</v>
      </c>
      <c r="K121" s="29">
        <v>5900</v>
      </c>
      <c r="L121" s="29">
        <v>0</v>
      </c>
      <c r="M121" s="7"/>
    </row>
    <row r="122" spans="1:13" ht="28.5" customHeight="1" x14ac:dyDescent="0.25">
      <c r="A122" s="77"/>
      <c r="B122" s="77"/>
      <c r="C122" s="80" t="s">
        <v>104</v>
      </c>
      <c r="D122" s="14" t="s">
        <v>19</v>
      </c>
      <c r="E122" s="38">
        <f>F122+G122+H122+I122+J122+L122+K122</f>
        <v>11000</v>
      </c>
      <c r="F122" s="22"/>
      <c r="G122" s="22"/>
      <c r="H122" s="22"/>
      <c r="I122" s="22">
        <v>50</v>
      </c>
      <c r="J122" s="29">
        <v>0</v>
      </c>
      <c r="K122" s="29">
        <v>10950</v>
      </c>
      <c r="L122" s="29">
        <v>0</v>
      </c>
      <c r="M122" s="7"/>
    </row>
    <row r="123" spans="1:13" ht="45" customHeight="1" x14ac:dyDescent="0.25">
      <c r="A123" s="77"/>
      <c r="B123" s="77"/>
      <c r="C123" s="82" t="s">
        <v>105</v>
      </c>
      <c r="D123" s="14" t="s">
        <v>19</v>
      </c>
      <c r="E123" s="23">
        <f t="shared" si="40"/>
        <v>11.535650000000004</v>
      </c>
      <c r="F123" s="22"/>
      <c r="G123" s="22"/>
      <c r="H123" s="22"/>
      <c r="I123" s="29">
        <f>232.43565-220.9</f>
        <v>11.535650000000004</v>
      </c>
      <c r="J123" s="29">
        <v>0</v>
      </c>
      <c r="K123" s="29">
        <v>0</v>
      </c>
      <c r="L123" s="29">
        <v>0</v>
      </c>
      <c r="M123" s="7"/>
    </row>
    <row r="124" spans="1:13" ht="45" customHeight="1" x14ac:dyDescent="0.25">
      <c r="A124" s="77"/>
      <c r="B124" s="77"/>
      <c r="C124" s="80" t="s">
        <v>109</v>
      </c>
      <c r="D124" s="14" t="s">
        <v>19</v>
      </c>
      <c r="E124" s="23">
        <f t="shared" si="40"/>
        <v>3669.1</v>
      </c>
      <c r="F124" s="22"/>
      <c r="G124" s="22"/>
      <c r="H124" s="22"/>
      <c r="I124" s="24">
        <v>100</v>
      </c>
      <c r="J124" s="29">
        <f>3569.1</f>
        <v>3569.1</v>
      </c>
      <c r="K124" s="29">
        <v>0</v>
      </c>
      <c r="L124" s="29">
        <v>0</v>
      </c>
      <c r="M124" s="7"/>
    </row>
    <row r="125" spans="1:13" ht="45" customHeight="1" x14ac:dyDescent="0.25">
      <c r="A125" s="92"/>
      <c r="B125" s="91"/>
      <c r="C125" s="108" t="s">
        <v>108</v>
      </c>
      <c r="D125" s="14" t="s">
        <v>7</v>
      </c>
      <c r="E125" s="23">
        <f>I125+J125+K125+L125</f>
        <v>9446.4</v>
      </c>
      <c r="F125" s="22"/>
      <c r="G125" s="22"/>
      <c r="H125" s="22"/>
      <c r="I125" s="68">
        <f>I126+I127</f>
        <v>100</v>
      </c>
      <c r="J125" s="28">
        <f>J126+J127</f>
        <v>9346.4</v>
      </c>
      <c r="K125" s="29">
        <v>0</v>
      </c>
      <c r="L125" s="29">
        <v>0</v>
      </c>
      <c r="M125" s="7"/>
    </row>
    <row r="126" spans="1:13" ht="45" customHeight="1" x14ac:dyDescent="0.25">
      <c r="A126" s="93"/>
      <c r="B126" s="91"/>
      <c r="C126" s="108"/>
      <c r="D126" s="14" t="s">
        <v>113</v>
      </c>
      <c r="E126" s="23">
        <f>F126+G126+H126+I126+J126+L126</f>
        <v>9446.4</v>
      </c>
      <c r="F126" s="22"/>
      <c r="G126" s="22"/>
      <c r="H126" s="22"/>
      <c r="I126" s="24">
        <v>100</v>
      </c>
      <c r="J126" s="29">
        <v>9346.4</v>
      </c>
      <c r="K126" s="29">
        <v>0</v>
      </c>
      <c r="L126" s="29">
        <v>0</v>
      </c>
      <c r="M126" s="7"/>
    </row>
    <row r="127" spans="1:13" ht="45" customHeight="1" x14ac:dyDescent="0.25">
      <c r="A127" s="94"/>
      <c r="B127" s="91"/>
      <c r="C127" s="108"/>
      <c r="D127" s="14" t="s">
        <v>14</v>
      </c>
      <c r="E127" s="70"/>
      <c r="F127" s="70"/>
      <c r="G127" s="70"/>
      <c r="H127" s="70"/>
      <c r="I127" s="70"/>
      <c r="J127" s="29">
        <v>0</v>
      </c>
      <c r="K127" s="29">
        <v>0</v>
      </c>
      <c r="L127" s="29">
        <v>0</v>
      </c>
      <c r="M127" s="7"/>
    </row>
    <row r="128" spans="1:13" ht="45" customHeight="1" x14ac:dyDescent="0.25">
      <c r="A128" s="78"/>
      <c r="B128" s="76"/>
      <c r="C128" s="71" t="s">
        <v>115</v>
      </c>
      <c r="D128" s="14" t="s">
        <v>19</v>
      </c>
      <c r="E128" s="69">
        <f>F128+G128+H128+I128+J128+K128+L128</f>
        <v>7700.2</v>
      </c>
      <c r="F128" s="69"/>
      <c r="G128" s="69"/>
      <c r="H128" s="69"/>
      <c r="I128" s="69">
        <v>50</v>
      </c>
      <c r="J128" s="29">
        <v>0</v>
      </c>
      <c r="K128" s="88">
        <v>7650.2</v>
      </c>
      <c r="L128" s="29">
        <v>0</v>
      </c>
      <c r="M128" s="7"/>
    </row>
    <row r="129" spans="1:13" s="16" customFormat="1" ht="45" customHeight="1" x14ac:dyDescent="0.25">
      <c r="A129" s="78"/>
      <c r="B129" s="76"/>
      <c r="C129" s="71" t="s">
        <v>116</v>
      </c>
      <c r="D129" s="14" t="s">
        <v>19</v>
      </c>
      <c r="E129" s="69">
        <f>I129</f>
        <v>50</v>
      </c>
      <c r="F129" s="69"/>
      <c r="G129" s="69"/>
      <c r="H129" s="69"/>
      <c r="I129" s="69">
        <v>50</v>
      </c>
      <c r="J129" s="29">
        <v>0</v>
      </c>
      <c r="K129" s="29">
        <v>0</v>
      </c>
      <c r="L129" s="29">
        <v>0</v>
      </c>
      <c r="M129" s="15"/>
    </row>
    <row r="130" spans="1:13" s="16" customFormat="1" ht="45" customHeight="1" x14ac:dyDescent="0.25">
      <c r="A130" s="78"/>
      <c r="B130" s="76"/>
      <c r="C130" s="71" t="s">
        <v>118</v>
      </c>
      <c r="D130" s="14" t="s">
        <v>19</v>
      </c>
      <c r="E130" s="69"/>
      <c r="F130" s="69"/>
      <c r="G130" s="69"/>
      <c r="H130" s="69"/>
      <c r="I130" s="69"/>
      <c r="J130" s="88">
        <v>4511.2049999999999</v>
      </c>
      <c r="K130" s="88"/>
      <c r="L130" s="88"/>
      <c r="M130" s="15"/>
    </row>
    <row r="131" spans="1:13" x14ac:dyDescent="0.25">
      <c r="A131" s="92"/>
      <c r="B131" s="98" t="s">
        <v>43</v>
      </c>
      <c r="C131" s="99" t="s">
        <v>44</v>
      </c>
      <c r="D131" s="84" t="s">
        <v>7</v>
      </c>
      <c r="E131" s="28">
        <f t="shared" si="37"/>
        <v>482777.87499999994</v>
      </c>
      <c r="F131" s="45">
        <f>F132+F133+F134</f>
        <v>145800.75399999996</v>
      </c>
      <c r="G131" s="45">
        <f>G132+G133+G134</f>
        <v>38206.452999999994</v>
      </c>
      <c r="H131" s="45">
        <f>H132+H133+H134</f>
        <v>36300.378000000004</v>
      </c>
      <c r="I131" s="45">
        <f>I132+I133+I134</f>
        <v>30704.719999999998</v>
      </c>
      <c r="J131" s="45">
        <f t="shared" ref="J131" si="47">J132+J133+J134</f>
        <v>98981.37000000001</v>
      </c>
      <c r="K131" s="45">
        <f t="shared" ref="K131:L131" si="48">K132+K133+K134</f>
        <v>62360</v>
      </c>
      <c r="L131" s="45">
        <f t="shared" si="48"/>
        <v>70424.2</v>
      </c>
    </row>
    <row r="132" spans="1:13" ht="28.5" x14ac:dyDescent="0.25">
      <c r="A132" s="93"/>
      <c r="B132" s="98"/>
      <c r="C132" s="99"/>
      <c r="D132" s="85" t="s">
        <v>13</v>
      </c>
      <c r="E132" s="28">
        <f t="shared" si="37"/>
        <v>458320.81099999999</v>
      </c>
      <c r="F132" s="45">
        <f>F136+F138+F139+F140+F145+F147+F148+F149+F151</f>
        <v>121343.68999999997</v>
      </c>
      <c r="G132" s="45">
        <f>G136+G138+G139+G140+G143+G145+G147+G148+G149+G151</f>
        <v>38206.452999999994</v>
      </c>
      <c r="H132" s="45">
        <f>H136+H138+H139+H140+H143+H145+H147+H148+H149+H151+H153+H154+H155+H156+H157+H158+H150+H159</f>
        <v>36300.378000000004</v>
      </c>
      <c r="I132" s="45">
        <f>I136+I138+I139+I140+I145+I147+I148+I149+I151+I153+I154+I155+I156+I157+I158+I150+I159+I152</f>
        <v>30704.719999999998</v>
      </c>
      <c r="J132" s="45">
        <f>J136+J138+J139+J140+J143+J145+J147+J148+J149+J151+J153+J154+J155+J156+J157+J158+J150+J159+J152+J160</f>
        <v>98981.37000000001</v>
      </c>
      <c r="K132" s="45">
        <f>K136+K138+K139+K140+K143+K145+K147+K148+K149+K151+K153+K154+K155+K156+K157+K158+K150+K159+K152+K160</f>
        <v>62360</v>
      </c>
      <c r="L132" s="45">
        <f>L136+L138+L139+L140+L143+L145+L147+L148+L149+L151+L153+L154+L155+L156+L157+L158+L150+L159+L152+L160</f>
        <v>70424.2</v>
      </c>
    </row>
    <row r="133" spans="1:13" ht="42.75" x14ac:dyDescent="0.25">
      <c r="A133" s="93"/>
      <c r="B133" s="98"/>
      <c r="C133" s="99"/>
      <c r="D133" s="85" t="s">
        <v>14</v>
      </c>
      <c r="E133" s="28">
        <f t="shared" si="37"/>
        <v>7457.0640000000003</v>
      </c>
      <c r="F133" s="45">
        <f>F146</f>
        <v>7457.0640000000003</v>
      </c>
      <c r="G133" s="45">
        <f t="shared" ref="G133:K133" si="49">G146+G137</f>
        <v>0</v>
      </c>
      <c r="H133" s="45">
        <f t="shared" si="49"/>
        <v>0</v>
      </c>
      <c r="I133" s="45">
        <f t="shared" si="49"/>
        <v>0</v>
      </c>
      <c r="J133" s="45">
        <f t="shared" si="49"/>
        <v>0</v>
      </c>
      <c r="K133" s="45">
        <f t="shared" si="49"/>
        <v>0</v>
      </c>
      <c r="L133" s="45">
        <f t="shared" ref="L133" si="50">L146+L137</f>
        <v>0</v>
      </c>
    </row>
    <row r="134" spans="1:13" ht="28.5" x14ac:dyDescent="0.25">
      <c r="A134" s="94"/>
      <c r="B134" s="98"/>
      <c r="C134" s="99"/>
      <c r="D134" s="85" t="s">
        <v>15</v>
      </c>
      <c r="E134" s="28">
        <f t="shared" si="37"/>
        <v>17000</v>
      </c>
      <c r="F134" s="45">
        <f>F137</f>
        <v>17000</v>
      </c>
      <c r="G134" s="45"/>
      <c r="H134" s="45"/>
      <c r="I134" s="45"/>
      <c r="J134" s="29">
        <v>0</v>
      </c>
      <c r="K134" s="29">
        <v>0</v>
      </c>
      <c r="L134" s="29">
        <v>0</v>
      </c>
    </row>
    <row r="135" spans="1:13" x14ac:dyDescent="0.25">
      <c r="A135" s="92"/>
      <c r="B135" s="92"/>
      <c r="C135" s="95" t="s">
        <v>45</v>
      </c>
      <c r="D135" s="46" t="s">
        <v>21</v>
      </c>
      <c r="E135" s="23">
        <f t="shared" si="37"/>
        <v>40175</v>
      </c>
      <c r="F135" s="35">
        <f>F136+F137</f>
        <v>27000</v>
      </c>
      <c r="G135" s="35">
        <f t="shared" ref="G135:L135" si="51">G136+G137</f>
        <v>0</v>
      </c>
      <c r="H135" s="35">
        <f t="shared" si="51"/>
        <v>95</v>
      </c>
      <c r="I135" s="35">
        <f t="shared" si="51"/>
        <v>0</v>
      </c>
      <c r="J135" s="36">
        <f t="shared" si="51"/>
        <v>0</v>
      </c>
      <c r="K135" s="36">
        <f t="shared" ref="K135" si="52">K136+K137</f>
        <v>2985.8</v>
      </c>
      <c r="L135" s="36">
        <f t="shared" si="51"/>
        <v>10094.200000000001</v>
      </c>
    </row>
    <row r="136" spans="1:13" ht="30" x14ac:dyDescent="0.25">
      <c r="A136" s="93"/>
      <c r="B136" s="93"/>
      <c r="C136" s="96"/>
      <c r="D136" s="14" t="s">
        <v>19</v>
      </c>
      <c r="E136" s="29">
        <f t="shared" si="37"/>
        <v>23175</v>
      </c>
      <c r="F136" s="29">
        <f>30000-20000</f>
        <v>10000</v>
      </c>
      <c r="G136" s="29">
        <f>176435.6+20000-196435.6</f>
        <v>0</v>
      </c>
      <c r="H136" s="29">
        <v>95</v>
      </c>
      <c r="I136" s="29">
        <v>0</v>
      </c>
      <c r="J136" s="29">
        <v>0</v>
      </c>
      <c r="K136" s="29">
        <v>2985.8</v>
      </c>
      <c r="L136" s="29">
        <v>10094.200000000001</v>
      </c>
      <c r="M136" s="4"/>
    </row>
    <row r="137" spans="1:13" ht="30" x14ac:dyDescent="0.25">
      <c r="A137" s="94"/>
      <c r="B137" s="94"/>
      <c r="C137" s="97"/>
      <c r="D137" s="14" t="s">
        <v>15</v>
      </c>
      <c r="E137" s="29">
        <f t="shared" si="37"/>
        <v>17000</v>
      </c>
      <c r="F137" s="29">
        <v>17000</v>
      </c>
      <c r="G137" s="29"/>
      <c r="H137" s="29"/>
      <c r="I137" s="29"/>
      <c r="J137" s="29">
        <v>0</v>
      </c>
      <c r="K137" s="29">
        <v>0</v>
      </c>
      <c r="L137" s="29">
        <v>0</v>
      </c>
    </row>
    <row r="138" spans="1:13" ht="30" x14ac:dyDescent="0.25">
      <c r="A138" s="83"/>
      <c r="B138" s="83"/>
      <c r="C138" s="14" t="s">
        <v>46</v>
      </c>
      <c r="D138" s="14" t="s">
        <v>19</v>
      </c>
      <c r="E138" s="29">
        <f t="shared" si="37"/>
        <v>6444.9</v>
      </c>
      <c r="F138" s="29">
        <f>10000-5000-50-0.1</f>
        <v>4949.8999999999996</v>
      </c>
      <c r="G138" s="29">
        <f>27912.3+5000-32912.3</f>
        <v>0</v>
      </c>
      <c r="H138" s="29">
        <f>50+85</f>
        <v>135</v>
      </c>
      <c r="I138" s="29">
        <v>0</v>
      </c>
      <c r="J138" s="29">
        <v>0</v>
      </c>
      <c r="K138" s="29">
        <v>0</v>
      </c>
      <c r="L138" s="29">
        <v>1360</v>
      </c>
      <c r="M138" s="4"/>
    </row>
    <row r="139" spans="1:13" ht="30" x14ac:dyDescent="0.25">
      <c r="A139" s="83"/>
      <c r="B139" s="83"/>
      <c r="C139" s="47" t="s">
        <v>47</v>
      </c>
      <c r="D139" s="14" t="s">
        <v>19</v>
      </c>
      <c r="E139" s="29">
        <f t="shared" si="37"/>
        <v>91492.909999999989</v>
      </c>
      <c r="F139" s="29">
        <f>95674.4-9342.27</f>
        <v>86332.12999999999</v>
      </c>
      <c r="G139" s="29">
        <f>8342.3+41-3181.52-41</f>
        <v>5160.7799999999988</v>
      </c>
      <c r="H139" s="29">
        <v>0</v>
      </c>
      <c r="I139" s="29">
        <v>0</v>
      </c>
      <c r="J139" s="29">
        <v>0</v>
      </c>
      <c r="K139" s="29">
        <v>0</v>
      </c>
      <c r="L139" s="29"/>
    </row>
    <row r="140" spans="1:13" ht="44.25" customHeight="1" x14ac:dyDescent="0.25">
      <c r="A140" s="83"/>
      <c r="B140" s="83"/>
      <c r="C140" s="47" t="s">
        <v>48</v>
      </c>
      <c r="D140" s="14" t="s">
        <v>19</v>
      </c>
      <c r="E140" s="29">
        <f t="shared" si="37"/>
        <v>66099.751999999993</v>
      </c>
      <c r="F140" s="29">
        <f>45825.2-34619.98+12207.53-12954.4-9412.75-665.713</f>
        <v>379.88699999999312</v>
      </c>
      <c r="G140" s="29">
        <v>26412.799999999999</v>
      </c>
      <c r="H140" s="29">
        <f>15412.45-0.05+14608+25-12000-200.535</f>
        <v>17844.865000000002</v>
      </c>
      <c r="I140" s="29">
        <v>175.6</v>
      </c>
      <c r="J140" s="29">
        <v>0</v>
      </c>
      <c r="K140" s="29">
        <v>0</v>
      </c>
      <c r="L140" s="29">
        <v>21286.6</v>
      </c>
      <c r="M140" s="2"/>
    </row>
    <row r="141" spans="1:13" ht="45" hidden="1" x14ac:dyDescent="0.25">
      <c r="A141" s="83"/>
      <c r="B141" s="83"/>
      <c r="C141" s="47" t="s">
        <v>49</v>
      </c>
      <c r="D141" s="14" t="s">
        <v>19</v>
      </c>
      <c r="E141" s="29">
        <f t="shared" si="37"/>
        <v>0</v>
      </c>
      <c r="F141" s="29">
        <f>5160.1-5160.1</f>
        <v>0</v>
      </c>
      <c r="G141" s="29">
        <v>0</v>
      </c>
      <c r="H141" s="29">
        <v>0</v>
      </c>
      <c r="I141" s="29">
        <v>0</v>
      </c>
      <c r="J141" s="29"/>
      <c r="K141" s="29"/>
      <c r="L141" s="29"/>
    </row>
    <row r="142" spans="1:13" ht="30" hidden="1" x14ac:dyDescent="0.25">
      <c r="A142" s="83"/>
      <c r="B142" s="83"/>
      <c r="C142" s="47" t="s">
        <v>50</v>
      </c>
      <c r="D142" s="14" t="s">
        <v>19</v>
      </c>
      <c r="E142" s="29">
        <f t="shared" si="37"/>
        <v>0</v>
      </c>
      <c r="F142" s="29">
        <f>5000-3203.3+3203.3-5000</f>
        <v>0</v>
      </c>
      <c r="G142" s="29">
        <v>0</v>
      </c>
      <c r="H142" s="29">
        <v>0</v>
      </c>
      <c r="I142" s="29">
        <v>0</v>
      </c>
      <c r="J142" s="29"/>
      <c r="K142" s="29"/>
      <c r="L142" s="29"/>
    </row>
    <row r="143" spans="1:13" s="10" customFormat="1" ht="0.75" hidden="1" customHeight="1" x14ac:dyDescent="0.25">
      <c r="A143" s="14"/>
      <c r="B143" s="83"/>
      <c r="C143" s="14"/>
      <c r="D143" s="14"/>
      <c r="E143" s="29"/>
      <c r="F143" s="29"/>
      <c r="G143" s="29"/>
      <c r="H143" s="29"/>
      <c r="I143" s="29"/>
      <c r="J143" s="29"/>
      <c r="K143" s="29"/>
      <c r="L143" s="29"/>
    </row>
    <row r="144" spans="1:13" x14ac:dyDescent="0.25">
      <c r="A144" s="111"/>
      <c r="B144" s="111"/>
      <c r="C144" s="95" t="s">
        <v>51</v>
      </c>
      <c r="D144" s="34" t="s">
        <v>21</v>
      </c>
      <c r="E144" s="48">
        <f t="shared" si="6"/>
        <v>27138.837</v>
      </c>
      <c r="F144" s="49">
        <f>F145+F146</f>
        <v>27138.837</v>
      </c>
      <c r="G144" s="49">
        <f>G145+G146</f>
        <v>0</v>
      </c>
      <c r="H144" s="49">
        <f>H145+H146</f>
        <v>0</v>
      </c>
      <c r="I144" s="49">
        <f>I145+I146</f>
        <v>0</v>
      </c>
      <c r="J144" s="75">
        <v>0</v>
      </c>
      <c r="K144" s="75">
        <v>0</v>
      </c>
      <c r="L144" s="75">
        <v>0</v>
      </c>
    </row>
    <row r="145" spans="1:13" ht="30" x14ac:dyDescent="0.25">
      <c r="A145" s="112"/>
      <c r="B145" s="112"/>
      <c r="C145" s="96"/>
      <c r="D145" s="14" t="s">
        <v>19</v>
      </c>
      <c r="E145" s="29">
        <f t="shared" si="6"/>
        <v>19681.773000000001</v>
      </c>
      <c r="F145" s="50">
        <f>35+11837.09+5000+2809.683</f>
        <v>19681.773000000001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</row>
    <row r="146" spans="1:13" ht="45" x14ac:dyDescent="0.25">
      <c r="A146" s="113"/>
      <c r="B146" s="113"/>
      <c r="C146" s="97"/>
      <c r="D146" s="14" t="s">
        <v>14</v>
      </c>
      <c r="E146" s="29">
        <f t="shared" si="6"/>
        <v>7457.0640000000003</v>
      </c>
      <c r="F146" s="50">
        <f>11834.2-4377.136</f>
        <v>7457.0640000000003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</row>
    <row r="147" spans="1:13" ht="30" x14ac:dyDescent="0.25">
      <c r="A147" s="87"/>
      <c r="B147" s="87"/>
      <c r="C147" s="81" t="s">
        <v>52</v>
      </c>
      <c r="D147" s="14" t="s">
        <v>19</v>
      </c>
      <c r="E147" s="29">
        <f>SUM(F147:L147)</f>
        <v>93882.502999999997</v>
      </c>
      <c r="F147" s="50">
        <f>44697.58-29697.58-4700-10000-300</f>
        <v>0</v>
      </c>
      <c r="G147" s="29">
        <f>17350+2423.43-17549.947</f>
        <v>2223.4830000000002</v>
      </c>
      <c r="H147" s="29">
        <v>15000</v>
      </c>
      <c r="I147" s="29">
        <f>30000-48.98-721.9</f>
        <v>29229.119999999999</v>
      </c>
      <c r="J147" s="29">
        <v>45223.5</v>
      </c>
      <c r="K147" s="29">
        <v>0</v>
      </c>
      <c r="L147" s="29">
        <v>2206.4</v>
      </c>
      <c r="M147" s="8"/>
    </row>
    <row r="148" spans="1:13" ht="45" x14ac:dyDescent="0.25">
      <c r="A148" s="87"/>
      <c r="B148" s="87"/>
      <c r="C148" s="81" t="s">
        <v>60</v>
      </c>
      <c r="D148" s="14" t="s">
        <v>19</v>
      </c>
      <c r="E148" s="29">
        <f t="shared" si="6"/>
        <v>3000</v>
      </c>
      <c r="F148" s="50">
        <v>0</v>
      </c>
      <c r="G148" s="29">
        <v>3000</v>
      </c>
      <c r="H148" s="29">
        <v>0</v>
      </c>
      <c r="I148" s="29">
        <v>0</v>
      </c>
      <c r="J148" s="29">
        <v>0</v>
      </c>
      <c r="K148" s="29">
        <v>3000</v>
      </c>
      <c r="L148" s="29">
        <v>0</v>
      </c>
    </row>
    <row r="149" spans="1:13" ht="30" x14ac:dyDescent="0.25">
      <c r="A149" s="87"/>
      <c r="B149" s="87"/>
      <c r="C149" s="81" t="s">
        <v>66</v>
      </c>
      <c r="D149" s="14" t="s">
        <v>19</v>
      </c>
      <c r="E149" s="29">
        <f>SUM(F149:L149)</f>
        <v>2760.4030000000002</v>
      </c>
      <c r="F149" s="50">
        <v>0</v>
      </c>
      <c r="G149" s="29">
        <f>1400+9.39</f>
        <v>1409.39</v>
      </c>
      <c r="H149" s="29">
        <v>1351.0129999999999</v>
      </c>
      <c r="I149" s="29">
        <v>0</v>
      </c>
      <c r="J149" s="29">
        <v>0</v>
      </c>
      <c r="K149" s="29">
        <v>0</v>
      </c>
      <c r="L149" s="29">
        <v>0</v>
      </c>
      <c r="M149" s="9"/>
    </row>
    <row r="150" spans="1:13" ht="30" x14ac:dyDescent="0.25">
      <c r="A150" s="87"/>
      <c r="B150" s="76"/>
      <c r="C150" s="80" t="s">
        <v>78</v>
      </c>
      <c r="D150" s="14" t="s">
        <v>19</v>
      </c>
      <c r="E150" s="22">
        <f>SUM(F150:L150)</f>
        <v>104138.57</v>
      </c>
      <c r="F150" s="22"/>
      <c r="G150" s="22"/>
      <c r="H150" s="22">
        <f>700-596.71-25-78.29</f>
        <v>0</v>
      </c>
      <c r="I150" s="22">
        <f>24610.13-20011.55265-3055.58-1442.99735</f>
        <v>99.999999999999545</v>
      </c>
      <c r="J150" s="29">
        <v>50987.57</v>
      </c>
      <c r="K150" s="29">
        <v>53051</v>
      </c>
      <c r="L150" s="29">
        <v>0</v>
      </c>
      <c r="M150" s="7"/>
    </row>
    <row r="151" spans="1:13" ht="30" x14ac:dyDescent="0.25">
      <c r="A151" s="87"/>
      <c r="B151" s="87"/>
      <c r="C151" s="82" t="s">
        <v>79</v>
      </c>
      <c r="D151" s="14" t="s">
        <v>19</v>
      </c>
      <c r="E151" s="29">
        <f>SUM(F151:L151)</f>
        <v>356.5</v>
      </c>
      <c r="F151" s="50">
        <v>0</v>
      </c>
      <c r="G151" s="29">
        <v>0</v>
      </c>
      <c r="H151" s="29">
        <v>356.5</v>
      </c>
      <c r="I151" s="29"/>
      <c r="J151" s="29">
        <v>0</v>
      </c>
      <c r="K151" s="29">
        <v>0</v>
      </c>
      <c r="L151" s="29">
        <v>0</v>
      </c>
      <c r="M151" s="3"/>
    </row>
    <row r="152" spans="1:13" ht="30" x14ac:dyDescent="0.25">
      <c r="A152" s="86"/>
      <c r="B152" s="86"/>
      <c r="C152" s="82" t="s">
        <v>83</v>
      </c>
      <c r="D152" s="14" t="s">
        <v>19</v>
      </c>
      <c r="E152" s="29">
        <f>SUM(F152:L152)</f>
        <v>8750</v>
      </c>
      <c r="F152" s="50"/>
      <c r="G152" s="29"/>
      <c r="H152" s="29"/>
      <c r="I152" s="29">
        <v>100</v>
      </c>
      <c r="J152" s="29">
        <v>0</v>
      </c>
      <c r="K152" s="29">
        <v>0</v>
      </c>
      <c r="L152" s="29">
        <v>8650</v>
      </c>
      <c r="M152" s="3"/>
    </row>
    <row r="153" spans="1:13" ht="45" x14ac:dyDescent="0.25">
      <c r="A153" s="78"/>
      <c r="B153" s="77"/>
      <c r="C153" s="80" t="s">
        <v>92</v>
      </c>
      <c r="D153" s="14" t="s">
        <v>19</v>
      </c>
      <c r="E153" s="29">
        <f t="shared" ref="E153:E159" si="53">SUM(F153:L153)</f>
        <v>1200</v>
      </c>
      <c r="F153" s="24">
        <v>0</v>
      </c>
      <c r="G153" s="24">
        <v>0</v>
      </c>
      <c r="H153" s="22"/>
      <c r="I153" s="24">
        <v>100</v>
      </c>
      <c r="J153" s="29">
        <v>0</v>
      </c>
      <c r="K153" s="29">
        <v>0</v>
      </c>
      <c r="L153" s="29">
        <v>1100</v>
      </c>
    </row>
    <row r="154" spans="1:13" ht="49.5" customHeight="1" x14ac:dyDescent="0.25">
      <c r="A154" s="76"/>
      <c r="B154" s="76"/>
      <c r="C154" s="82" t="s">
        <v>91</v>
      </c>
      <c r="D154" s="14" t="s">
        <v>19</v>
      </c>
      <c r="E154" s="29">
        <f t="shared" si="53"/>
        <v>1600</v>
      </c>
      <c r="F154" s="24">
        <v>0</v>
      </c>
      <c r="G154" s="24">
        <v>0</v>
      </c>
      <c r="H154" s="22"/>
      <c r="I154" s="24">
        <v>100</v>
      </c>
      <c r="J154" s="29">
        <v>0</v>
      </c>
      <c r="K154" s="29">
        <v>0</v>
      </c>
      <c r="L154" s="29">
        <v>1500</v>
      </c>
    </row>
    <row r="155" spans="1:13" ht="31.5" customHeight="1" x14ac:dyDescent="0.25">
      <c r="A155" s="76"/>
      <c r="B155" s="76"/>
      <c r="C155" s="51" t="s">
        <v>90</v>
      </c>
      <c r="D155" s="14" t="s">
        <v>19</v>
      </c>
      <c r="E155" s="29">
        <f t="shared" si="53"/>
        <v>5937</v>
      </c>
      <c r="F155" s="24" t="s">
        <v>68</v>
      </c>
      <c r="G155" s="24" t="s">
        <v>68</v>
      </c>
      <c r="H155" s="22"/>
      <c r="I155" s="24">
        <v>100</v>
      </c>
      <c r="J155" s="29">
        <v>0</v>
      </c>
      <c r="K155" s="29">
        <v>0</v>
      </c>
      <c r="L155" s="29">
        <v>5837</v>
      </c>
    </row>
    <row r="156" spans="1:13" ht="29.25" customHeight="1" x14ac:dyDescent="0.25">
      <c r="A156" s="76"/>
      <c r="B156" s="76"/>
      <c r="C156" s="52" t="s">
        <v>84</v>
      </c>
      <c r="D156" s="14" t="s">
        <v>19</v>
      </c>
      <c r="E156" s="29">
        <f t="shared" si="53"/>
        <v>7200</v>
      </c>
      <c r="F156" s="24">
        <v>0</v>
      </c>
      <c r="G156" s="24" t="s">
        <v>68</v>
      </c>
      <c r="H156" s="22"/>
      <c r="I156" s="24">
        <v>100</v>
      </c>
      <c r="J156" s="29">
        <v>0</v>
      </c>
      <c r="K156" s="29">
        <v>0</v>
      </c>
      <c r="L156" s="29">
        <v>7100</v>
      </c>
    </row>
    <row r="157" spans="1:13" ht="48" customHeight="1" x14ac:dyDescent="0.25">
      <c r="A157" s="76"/>
      <c r="B157" s="76"/>
      <c r="C157" s="53" t="s">
        <v>85</v>
      </c>
      <c r="D157" s="14" t="s">
        <v>19</v>
      </c>
      <c r="E157" s="29">
        <f t="shared" si="53"/>
        <v>1800</v>
      </c>
      <c r="F157" s="24" t="s">
        <v>68</v>
      </c>
      <c r="G157" s="24" t="s">
        <v>68</v>
      </c>
      <c r="H157" s="22"/>
      <c r="I157" s="24">
        <v>100</v>
      </c>
      <c r="J157" s="29">
        <v>0</v>
      </c>
      <c r="K157" s="29">
        <v>0</v>
      </c>
      <c r="L157" s="29">
        <v>1700</v>
      </c>
    </row>
    <row r="158" spans="1:13" ht="48.75" customHeight="1" x14ac:dyDescent="0.25">
      <c r="A158" s="54"/>
      <c r="B158" s="54"/>
      <c r="C158" s="55" t="s">
        <v>86</v>
      </c>
      <c r="D158" s="14" t="s">
        <v>19</v>
      </c>
      <c r="E158" s="29">
        <f t="shared" si="53"/>
        <v>2390</v>
      </c>
      <c r="F158" s="56" t="s">
        <v>68</v>
      </c>
      <c r="G158" s="24" t="s">
        <v>68</v>
      </c>
      <c r="H158" s="29"/>
      <c r="I158" s="24">
        <v>100</v>
      </c>
      <c r="J158" s="29">
        <v>0</v>
      </c>
      <c r="K158" s="29">
        <v>0</v>
      </c>
      <c r="L158" s="29">
        <v>2290</v>
      </c>
    </row>
    <row r="159" spans="1:13" ht="33" customHeight="1" x14ac:dyDescent="0.25">
      <c r="A159" s="54"/>
      <c r="B159" s="54"/>
      <c r="C159" s="55" t="s">
        <v>80</v>
      </c>
      <c r="D159" s="14" t="s">
        <v>19</v>
      </c>
      <c r="E159" s="29">
        <f t="shared" si="53"/>
        <v>9318</v>
      </c>
      <c r="F159" s="56"/>
      <c r="G159" s="24"/>
      <c r="H159" s="29">
        <v>1518</v>
      </c>
      <c r="I159" s="24">
        <f>1000-500</f>
        <v>500</v>
      </c>
      <c r="J159" s="29">
        <v>0</v>
      </c>
      <c r="K159" s="29">
        <v>0</v>
      </c>
      <c r="L159" s="29">
        <v>7300</v>
      </c>
      <c r="M159" s="3"/>
    </row>
    <row r="160" spans="1:13" ht="33" customHeight="1" x14ac:dyDescent="0.25">
      <c r="A160" s="54"/>
      <c r="B160" s="54"/>
      <c r="C160" s="55" t="s">
        <v>119</v>
      </c>
      <c r="D160" s="14"/>
      <c r="E160" s="29"/>
      <c r="F160" s="56"/>
      <c r="G160" s="24"/>
      <c r="H160" s="29"/>
      <c r="I160" s="24"/>
      <c r="J160" s="29">
        <v>2770.3</v>
      </c>
      <c r="K160" s="29">
        <v>3323.2</v>
      </c>
      <c r="L160" s="29"/>
      <c r="M160" s="3"/>
    </row>
    <row r="161" spans="1:13" x14ac:dyDescent="0.25">
      <c r="A161" s="101"/>
      <c r="B161" s="109" t="s">
        <v>53</v>
      </c>
      <c r="C161" s="110" t="s">
        <v>54</v>
      </c>
      <c r="D161" s="85" t="s">
        <v>7</v>
      </c>
      <c r="E161" s="28">
        <f>F161+G161+H161+I161+J161+K161+L161</f>
        <v>299863.59867000004</v>
      </c>
      <c r="F161" s="28">
        <f t="shared" ref="F161:L161" si="54">F162+F163</f>
        <v>36845.57</v>
      </c>
      <c r="G161" s="28">
        <f t="shared" si="54"/>
        <v>33590.269</v>
      </c>
      <c r="H161" s="28">
        <f t="shared" si="54"/>
        <v>31054.800000000003</v>
      </c>
      <c r="I161" s="28">
        <f>I162+I163</f>
        <v>33599.159670000001</v>
      </c>
      <c r="J161" s="28">
        <f t="shared" si="54"/>
        <v>54717.400000000009</v>
      </c>
      <c r="K161" s="28">
        <f t="shared" si="54"/>
        <v>54483.9</v>
      </c>
      <c r="L161" s="28">
        <f t="shared" si="54"/>
        <v>55572.500000000007</v>
      </c>
    </row>
    <row r="162" spans="1:13" ht="28.5" x14ac:dyDescent="0.25">
      <c r="A162" s="101"/>
      <c r="B162" s="109"/>
      <c r="C162" s="110"/>
      <c r="D162" s="85" t="s">
        <v>13</v>
      </c>
      <c r="E162" s="28">
        <f>E164+E165+E166+E168+E169+E170+E171+E167</f>
        <v>299806.53367000003</v>
      </c>
      <c r="F162" s="45">
        <f>F164+F165+F168+F170+F171</f>
        <v>36845.57</v>
      </c>
      <c r="G162" s="45">
        <f>G164+G165+G169+G171</f>
        <v>33590.269</v>
      </c>
      <c r="H162" s="45">
        <f>H164+H165+H168+H171</f>
        <v>31054.800000000003</v>
      </c>
      <c r="I162" s="45">
        <f>I164+I165+I166+I171</f>
        <v>33582.659670000001</v>
      </c>
      <c r="J162" s="45">
        <f>J164+J167+J171+J165</f>
        <v>54676.835000000006</v>
      </c>
      <c r="K162" s="45">
        <f>K164+K165+K169+K171</f>
        <v>54483.9</v>
      </c>
      <c r="L162" s="45">
        <f>L164+L171+L165</f>
        <v>55572.500000000007</v>
      </c>
    </row>
    <row r="163" spans="1:13" ht="27.75" customHeight="1" x14ac:dyDescent="0.25">
      <c r="A163" s="101"/>
      <c r="B163" s="109"/>
      <c r="C163" s="110"/>
      <c r="D163" s="85" t="s">
        <v>35</v>
      </c>
      <c r="E163" s="28">
        <f>E172</f>
        <v>57.064999999999998</v>
      </c>
      <c r="F163" s="28">
        <f t="shared" ref="F163:L163" si="55">F173</f>
        <v>0</v>
      </c>
      <c r="G163" s="28">
        <f t="shared" si="55"/>
        <v>0</v>
      </c>
      <c r="H163" s="28">
        <f t="shared" si="55"/>
        <v>0</v>
      </c>
      <c r="I163" s="28">
        <f>I172</f>
        <v>16.5</v>
      </c>
      <c r="J163" s="28">
        <f>J172</f>
        <v>40.564999999999998</v>
      </c>
      <c r="K163" s="28">
        <f t="shared" si="55"/>
        <v>0</v>
      </c>
      <c r="L163" s="28">
        <f t="shared" si="55"/>
        <v>0</v>
      </c>
    </row>
    <row r="164" spans="1:13" ht="30" customHeight="1" x14ac:dyDescent="0.25">
      <c r="A164" s="83"/>
      <c r="B164" s="83"/>
      <c r="C164" s="14" t="s">
        <v>55</v>
      </c>
      <c r="D164" s="14" t="s">
        <v>19</v>
      </c>
      <c r="E164" s="29">
        <f>F164+G164+H164+I164+J164+K164+L164</f>
        <v>147105.93767000001</v>
      </c>
      <c r="F164" s="29">
        <f>24038.8-200+335-150+150-150-75.9</f>
        <v>23947.899999999998</v>
      </c>
      <c r="G164" s="29">
        <f>22993.7-108.7-2746.7-70-49.9-21.805+632.2</f>
        <v>20628.794999999998</v>
      </c>
      <c r="H164" s="29">
        <f>18918.3+166.5+214.2-2.8+69.1</f>
        <v>19365.3</v>
      </c>
      <c r="I164" s="72">
        <f>20081.1-50+8+300-3.2-28.65733</f>
        <v>20307.24267</v>
      </c>
      <c r="J164" s="29">
        <v>20190.8</v>
      </c>
      <c r="K164" s="29">
        <v>20964.5</v>
      </c>
      <c r="L164" s="29">
        <v>21701.4</v>
      </c>
      <c r="M164" s="7"/>
    </row>
    <row r="165" spans="1:13" ht="29.25" customHeight="1" x14ac:dyDescent="0.25">
      <c r="A165" s="83"/>
      <c r="B165" s="83"/>
      <c r="C165" s="14" t="s">
        <v>56</v>
      </c>
      <c r="D165" s="14" t="s">
        <v>19</v>
      </c>
      <c r="E165" s="29">
        <f>SUM(F165:L165)</f>
        <v>56681.07</v>
      </c>
      <c r="F165" s="29">
        <f>7182-5682-571.73-196.6+0.1</f>
        <v>731.77</v>
      </c>
      <c r="G165" s="29">
        <f>1500-95-374</f>
        <v>1031</v>
      </c>
      <c r="H165" s="29">
        <f>1264.5+1000-247-205-856</f>
        <v>956.5</v>
      </c>
      <c r="I165" s="29">
        <f>2930-1000-60+150-70</f>
        <v>1950</v>
      </c>
      <c r="J165" s="29">
        <v>6810</v>
      </c>
      <c r="K165" s="29">
        <v>22600.9</v>
      </c>
      <c r="L165" s="29">
        <v>22600.9</v>
      </c>
      <c r="M165" s="2"/>
    </row>
    <row r="166" spans="1:13" ht="44.25" customHeight="1" x14ac:dyDescent="0.25">
      <c r="A166" s="83"/>
      <c r="B166" s="83"/>
      <c r="C166" s="14" t="s">
        <v>87</v>
      </c>
      <c r="D166" s="14" t="s">
        <v>19</v>
      </c>
      <c r="E166" s="29">
        <f>SUM(F166:I166)</f>
        <v>740</v>
      </c>
      <c r="F166" s="29">
        <f>2504.2-2504.2</f>
        <v>0</v>
      </c>
      <c r="G166" s="29">
        <f>500-500</f>
        <v>0</v>
      </c>
      <c r="H166" s="29">
        <v>0</v>
      </c>
      <c r="I166" s="29">
        <f>770-30</f>
        <v>740</v>
      </c>
      <c r="J166" s="29">
        <v>0</v>
      </c>
      <c r="K166" s="29">
        <v>0</v>
      </c>
      <c r="L166" s="29">
        <v>0</v>
      </c>
    </row>
    <row r="167" spans="1:13" ht="35.25" customHeight="1" x14ac:dyDescent="0.25">
      <c r="A167" s="83"/>
      <c r="B167" s="83"/>
      <c r="C167" s="14" t="s">
        <v>88</v>
      </c>
      <c r="D167" s="14" t="s">
        <v>19</v>
      </c>
      <c r="E167" s="29">
        <f>SUM(F167:J167)</f>
        <v>17190</v>
      </c>
      <c r="F167" s="29"/>
      <c r="G167" s="29"/>
      <c r="H167" s="29"/>
      <c r="I167" s="29">
        <v>0</v>
      </c>
      <c r="J167" s="29">
        <f>17300-110</f>
        <v>17190</v>
      </c>
      <c r="K167" s="29">
        <v>0</v>
      </c>
      <c r="L167" s="29">
        <v>0</v>
      </c>
      <c r="M167" s="7"/>
    </row>
    <row r="168" spans="1:13" ht="45" customHeight="1" x14ac:dyDescent="0.25">
      <c r="A168" s="83"/>
      <c r="B168" s="83"/>
      <c r="C168" s="14" t="s">
        <v>57</v>
      </c>
      <c r="D168" s="14" t="s">
        <v>19</v>
      </c>
      <c r="E168" s="29">
        <f>SUM(F168:L168)</f>
        <v>787.7</v>
      </c>
      <c r="F168" s="29">
        <f>3175.8-2675.8-162.3</f>
        <v>337.7</v>
      </c>
      <c r="G168" s="29">
        <f>500-500</f>
        <v>0</v>
      </c>
      <c r="H168" s="29">
        <v>450</v>
      </c>
      <c r="I168" s="29"/>
      <c r="J168" s="29">
        <v>0</v>
      </c>
      <c r="K168" s="29">
        <v>0</v>
      </c>
      <c r="L168" s="29">
        <v>0</v>
      </c>
    </row>
    <row r="169" spans="1:13" ht="45" customHeight="1" x14ac:dyDescent="0.25">
      <c r="A169" s="83"/>
      <c r="B169" s="83"/>
      <c r="C169" s="14" t="s">
        <v>63</v>
      </c>
      <c r="D169" s="14" t="s">
        <v>19</v>
      </c>
      <c r="E169" s="29">
        <f>SUM(F169:L169)</f>
        <v>171</v>
      </c>
      <c r="F169" s="29">
        <v>0</v>
      </c>
      <c r="G169" s="29">
        <f>1700-1226-200-103</f>
        <v>171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</row>
    <row r="170" spans="1:13" ht="59.25" customHeight="1" x14ac:dyDescent="0.25">
      <c r="A170" s="83"/>
      <c r="B170" s="83"/>
      <c r="C170" s="14" t="s">
        <v>58</v>
      </c>
      <c r="D170" s="14" t="s">
        <v>19</v>
      </c>
      <c r="E170" s="29">
        <f>SUM(F170:L170)</f>
        <v>50</v>
      </c>
      <c r="F170" s="29">
        <v>50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</row>
    <row r="171" spans="1:13" ht="59.25" customHeight="1" x14ac:dyDescent="0.25">
      <c r="A171" s="91"/>
      <c r="B171" s="91"/>
      <c r="C171" s="91" t="s">
        <v>59</v>
      </c>
      <c r="D171" s="14" t="s">
        <v>19</v>
      </c>
      <c r="E171" s="29">
        <f>SUM(F171:L171)</f>
        <v>77080.826000000001</v>
      </c>
      <c r="F171" s="29">
        <f>9884.4+1392.6+823.516-823.516-89.1+395.8-179.9+457.4-83</f>
        <v>11778.199999999999</v>
      </c>
      <c r="G171" s="29">
        <f>10632.3-231.39-255.836-485.2+1380+93.8+62.6-54+6.4+663.8-53</f>
        <v>11759.473999999998</v>
      </c>
      <c r="H171" s="29">
        <f>10087.2+61+100+104.6-103.4+33.6</f>
        <v>10283.000000000002</v>
      </c>
      <c r="I171" s="29">
        <f>10537.75+482.5-253.851+0.4+0.468-181.7-0.15</f>
        <v>10585.416999999999</v>
      </c>
      <c r="J171" s="29">
        <f>10526.6-40.565</f>
        <v>10486.035</v>
      </c>
      <c r="K171" s="29">
        <f>10918.5</f>
        <v>10918.5</v>
      </c>
      <c r="L171" s="29">
        <v>11270.2</v>
      </c>
    </row>
    <row r="172" spans="1:13" ht="59.25" customHeight="1" x14ac:dyDescent="0.25">
      <c r="A172" s="91"/>
      <c r="B172" s="91"/>
      <c r="C172" s="91"/>
      <c r="D172" s="14" t="s">
        <v>14</v>
      </c>
      <c r="E172" s="27">
        <f>I172+J172</f>
        <v>57.064999999999998</v>
      </c>
      <c r="F172" s="57"/>
      <c r="G172" s="58"/>
      <c r="H172" s="27"/>
      <c r="I172" s="26">
        <v>16.5</v>
      </c>
      <c r="J172" s="89">
        <v>40.564999999999998</v>
      </c>
      <c r="K172" s="29">
        <v>0</v>
      </c>
      <c r="L172" s="29">
        <v>0</v>
      </c>
    </row>
    <row r="173" spans="1:13" s="19" customFormat="1" ht="31.5" customHeight="1" x14ac:dyDescent="0.25">
      <c r="A173" s="63"/>
      <c r="B173" s="63"/>
      <c r="C173" s="63"/>
      <c r="D173" s="63"/>
      <c r="E173" s="21"/>
      <c r="F173" s="64"/>
      <c r="G173" s="65"/>
      <c r="H173" s="21"/>
      <c r="I173" s="20"/>
      <c r="J173" s="21"/>
      <c r="K173" s="21"/>
      <c r="L173" s="21"/>
      <c r="M173" s="18"/>
    </row>
    <row r="174" spans="1:13" x14ac:dyDescent="0.25">
      <c r="A174" s="66"/>
      <c r="B174" s="66"/>
      <c r="C174" s="66"/>
      <c r="D174" s="59"/>
      <c r="E174" s="59"/>
      <c r="F174" s="59"/>
      <c r="G174" s="59"/>
      <c r="H174" s="59"/>
      <c r="I174" s="59"/>
      <c r="J174" s="59"/>
      <c r="K174" s="59"/>
      <c r="L174" s="59"/>
    </row>
    <row r="175" spans="1:13" x14ac:dyDescent="0.2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1:13" ht="18.75" x14ac:dyDescent="0.3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</sheetData>
  <mergeCells count="88">
    <mergeCell ref="C171:C172"/>
    <mergeCell ref="B171:B172"/>
    <mergeCell ref="A171:A172"/>
    <mergeCell ref="A85:A88"/>
    <mergeCell ref="B85:B88"/>
    <mergeCell ref="C85:C88"/>
    <mergeCell ref="A161:A163"/>
    <mergeCell ref="B161:B163"/>
    <mergeCell ref="C161:C163"/>
    <mergeCell ref="A135:A137"/>
    <mergeCell ref="B135:B137"/>
    <mergeCell ref="C135:C137"/>
    <mergeCell ref="A144:A146"/>
    <mergeCell ref="B144:B146"/>
    <mergeCell ref="C144:C146"/>
    <mergeCell ref="B125:B127"/>
    <mergeCell ref="C125:C127"/>
    <mergeCell ref="A125:A127"/>
    <mergeCell ref="A5:A6"/>
    <mergeCell ref="B5:B6"/>
    <mergeCell ref="C5:C6"/>
    <mergeCell ref="A8:A11"/>
    <mergeCell ref="B8:B11"/>
    <mergeCell ref="C8:C11"/>
    <mergeCell ref="A23:A25"/>
    <mergeCell ref="B23:B25"/>
    <mergeCell ref="C23:C25"/>
    <mergeCell ref="A13:A16"/>
    <mergeCell ref="B13:B16"/>
    <mergeCell ref="C13:C16"/>
    <mergeCell ref="A19:A22"/>
    <mergeCell ref="B19:B22"/>
    <mergeCell ref="D5:D6"/>
    <mergeCell ref="E5:L5"/>
    <mergeCell ref="I1:L1"/>
    <mergeCell ref="I2:L2"/>
    <mergeCell ref="A3:L3"/>
    <mergeCell ref="A4:C4"/>
    <mergeCell ref="D4:L4"/>
    <mergeCell ref="C19:C22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4:A46"/>
    <mergeCell ref="B44:B47"/>
    <mergeCell ref="C44:C47"/>
    <mergeCell ref="A49:A51"/>
    <mergeCell ref="B49:B51"/>
    <mergeCell ref="C49:C51"/>
    <mergeCell ref="A62:A64"/>
    <mergeCell ref="B62:B64"/>
    <mergeCell ref="C62:C66"/>
    <mergeCell ref="B52:B58"/>
    <mergeCell ref="C52:C58"/>
    <mergeCell ref="A69:A72"/>
    <mergeCell ref="B69:B72"/>
    <mergeCell ref="C69:C72"/>
    <mergeCell ref="A73:A75"/>
    <mergeCell ref="B73:B75"/>
    <mergeCell ref="C73:C75"/>
    <mergeCell ref="A77:A79"/>
    <mergeCell ref="B77:B79"/>
    <mergeCell ref="C77:C79"/>
    <mergeCell ref="A80:A83"/>
    <mergeCell ref="B80:B83"/>
    <mergeCell ref="C80:C83"/>
    <mergeCell ref="M81:M82"/>
    <mergeCell ref="A102:A105"/>
    <mergeCell ref="B102:B105"/>
    <mergeCell ref="C102:C105"/>
    <mergeCell ref="A131:A134"/>
    <mergeCell ref="B131:B134"/>
    <mergeCell ref="C131:C134"/>
    <mergeCell ref="A108:A111"/>
    <mergeCell ref="B108:B111"/>
    <mergeCell ref="C108:C111"/>
    <mergeCell ref="A112:A115"/>
    <mergeCell ref="B112:B115"/>
    <mergeCell ref="C112:C115"/>
    <mergeCell ref="A116:A119"/>
    <mergeCell ref="B116:B119"/>
    <mergeCell ref="C116:C119"/>
  </mergeCells>
  <pageMargins left="0" right="7.874015748031496E-2" top="0.35433070866141736" bottom="0.35433070866141736" header="0.31496062992125984" footer="0.15748031496062992"/>
  <pageSetup paperSize="9" scale="53" orientation="landscape" r:id="rId1"/>
  <rowBreaks count="5" manualBreakCount="5">
    <brk id="39" max="11" man="1"/>
    <brk id="82" max="11" man="1"/>
    <brk id="118" max="11" man="1"/>
    <brk id="150" max="11" man="1"/>
    <brk id="172" max="11" man="1"/>
  </rowBreaks>
  <colBreaks count="1" manualBreakCount="1">
    <brk id="12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2019-03-04T08:06:37Z</dcterms:modified>
</cp:coreProperties>
</file>