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'Лист1'!$A$1:$K$115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60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<sst xmlns="http://schemas.openxmlformats.org/spreadsheetml/2006/main" count="174" uniqueCount="81">
  <si>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</si>
  <si>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</si>
  <si>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</si>
  <si>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</si>
  <si>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</si>
  <si>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</si>
  <si>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</si>
  <si>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</si>
  <si>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</si>
  <si>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</si>
  <si>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</si>
  <si>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</si>
  <si>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</si>
  <si>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</si>
  <si>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</si>
  <si>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</si>
  <si>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</si>
  <si>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</si>
  <si>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</si>
  <si>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</si>
  <si>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</si>
  <si>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</si>
  <si>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</si>
  <si>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</si>
  <si>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</si>
  <si>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</si>
  <si>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</si>
  <si>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</si>
  <si>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</si>
  <si>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</si>
  <si>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</si>
  <si>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</si>
  <si>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</si>
  <si>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</si>
  <si>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</si>
  <si>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</si>
  <si>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</si>
  <si>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</si>
  <si>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</si>
  <si>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</si>
  <si>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</si>
  <si>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</si>
  <si>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</si>
  <si>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</si>
  <si>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</si>
  <si>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</si>
  <si>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</si>
  <si>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</si>
  <si>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</si>
  <si>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</si>
  <si>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</si>
  <si>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</si>
  <si>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</si>
  <si>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</si>
  <si>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</si>
  <si>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</si>
  <si>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</si>
  <si>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</si>
  <si>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</si>
  <si>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</si>
  <si>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</si>
  <si>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</si>
  <si>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</si>
  <si>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</si>
  <si>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</si>
  <si>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</si>
  <si>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</si>
  <si>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</si>
  <si>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</si>
  <si>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2021 г</t>
  </si>
  <si>
    <t xml:space="preserve">        </t>
  </si>
  <si>
    <t>Приложение № 1</t>
  </si>
  <si>
    <t>реализации муниципальной программы города Пензы «Развитие образования в городе Пензе на 2015-2021 годы»</t>
  </si>
  <si>
    <t xml:space="preserve"> «Развитие образования в городе Пензе на 2015 - 2021 годы»</t>
  </si>
  <si>
    <t>Мероприятие 1.22. Организация деятельности школьных спортивных клубов по футболу в муниципальных общеобразовательных организациях</t>
  </si>
  <si>
    <t>Мероприятие 1.E5. Региональный проект «Учитель будущего»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</si>
  <si>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</si>
  <si>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1.23. Проведение мероприятий по антитеррористической защищенности объектов муниципальных образовательных организаций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</si>
  <si>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</si>
  <si>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Развитие образования в городе Пензе на 2015 - 2021 годы</t>
  </si>
  <si>
    <t xml:space="preserve">                  от 04.10.2019  №1928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</si>
</sst>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  <numFmt numFmtId="182" formatCode="0.00000"/>
    <numFmt numFmtId="18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181" fontId="46" fillId="0" borderId="0" xfId="0" applyNumberFormat="1" applyFont="1" applyFill="1" applyAlignment="1">
      <alignment/>
    </xf>
    <xf numFmtId="182" fontId="2" fillId="0" borderId="10" xfId="0" applyNumberFormat="1" applyFont="1" applyFill="1" applyBorder="1" applyAlignment="1">
      <alignment vertical="top" wrapText="1"/>
    </xf>
    <xf numFmtId="183" fontId="2" fillId="0" borderId="10" xfId="0" applyNumberFormat="1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181" fontId="2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SheetLayoutView="10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126" sqref="A126:IV137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00390625" style="4" customWidth="1"/>
    <col min="4" max="4" width="21.28125" style="4" customWidth="1"/>
    <col min="5" max="5" width="11.7109375" style="4" customWidth="1"/>
    <col min="6" max="6" width="12.421875" style="4" customWidth="1"/>
    <col min="7" max="7" width="14.140625" style="3" customWidth="1"/>
    <col min="8" max="9" width="14.00390625" style="3" customWidth="1"/>
    <col min="10" max="10" width="12.28125" style="4" customWidth="1"/>
    <col min="11" max="11" width="11.140625" style="4" customWidth="1"/>
    <col min="12" max="12" width="16.7109375" style="32" hidden="1" customWidth="1"/>
    <col min="13" max="13" width="0" style="4" hidden="1" customWidth="1"/>
    <col min="14" max="14" width="14.140625" style="4" hidden="1" customWidth="1"/>
    <col min="15" max="15" width="0" style="4" hidden="1" customWidth="1"/>
    <col min="16" max="16384" width="9.140625" style="4" customWidth="1"/>
  </cols>
  <sheetData>
    <row r="1" spans="8:12" s="3" customFormat="1" ht="15">
      <c r="H1" s="36"/>
      <c r="I1" s="36"/>
      <c r="J1" s="36"/>
      <c r="K1" s="34" t="s">
        <v>71</v>
      </c>
      <c r="L1" s="32"/>
    </row>
    <row r="2" spans="7:12" s="3" customFormat="1" ht="15">
      <c r="G2" s="37"/>
      <c r="H2" s="37"/>
      <c r="I2" s="37"/>
      <c r="J2" s="37"/>
      <c r="K2" s="34" t="s">
        <v>46</v>
      </c>
      <c r="L2" s="32"/>
    </row>
    <row r="3" spans="8:12" s="3" customFormat="1" ht="15" customHeight="1">
      <c r="H3" s="36" t="s">
        <v>70</v>
      </c>
      <c r="I3" s="36"/>
      <c r="J3" s="44"/>
      <c r="K3" s="34" t="s">
        <v>80</v>
      </c>
      <c r="L3" s="32"/>
    </row>
    <row r="4" ht="15.75" customHeight="1">
      <c r="K4" s="35"/>
    </row>
    <row r="5" spans="6:11" ht="15">
      <c r="F5" s="37"/>
      <c r="G5" s="37"/>
      <c r="H5" s="37"/>
      <c r="I5" s="37"/>
      <c r="J5" s="37"/>
      <c r="K5" s="34" t="s">
        <v>15</v>
      </c>
    </row>
    <row r="6" spans="6:11" ht="15">
      <c r="F6" s="37"/>
      <c r="G6" s="37"/>
      <c r="H6" s="37"/>
      <c r="I6" s="37"/>
      <c r="J6" s="37"/>
      <c r="K6" s="34" t="s">
        <v>0</v>
      </c>
    </row>
    <row r="7" spans="6:11" ht="15">
      <c r="F7" s="37"/>
      <c r="G7" s="37"/>
      <c r="H7" s="37"/>
      <c r="I7" s="37"/>
      <c r="J7" s="37"/>
      <c r="K7" s="34" t="s">
        <v>73</v>
      </c>
    </row>
    <row r="8" spans="6:11" ht="15">
      <c r="F8" s="3"/>
      <c r="J8" s="3"/>
      <c r="K8" s="3"/>
    </row>
    <row r="9" spans="1:11" ht="15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">
      <c r="A10" s="52" t="s">
        <v>72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5">
      <c r="A11" s="52" t="s">
        <v>20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ht="15" hidden="1">
      <c r="D12" s="5"/>
    </row>
    <row r="13" ht="15"/>
    <row r="14" spans="1:12" s="3" customFormat="1" ht="15">
      <c r="A14" s="53" t="s">
        <v>21</v>
      </c>
      <c r="B14" s="53" t="s">
        <v>2</v>
      </c>
      <c r="C14" s="53" t="s">
        <v>16</v>
      </c>
      <c r="D14" s="54" t="s">
        <v>22</v>
      </c>
      <c r="E14" s="54"/>
      <c r="F14" s="54"/>
      <c r="G14" s="54"/>
      <c r="H14" s="54"/>
      <c r="I14" s="54"/>
      <c r="J14" s="54"/>
      <c r="K14" s="54"/>
      <c r="L14" s="32"/>
    </row>
    <row r="15" spans="1:12" s="3" customFormat="1" ht="15" customHeight="1">
      <c r="A15" s="53"/>
      <c r="B15" s="53"/>
      <c r="C15" s="53"/>
      <c r="D15" s="53" t="s">
        <v>14</v>
      </c>
      <c r="E15" s="53"/>
      <c r="F15" s="53"/>
      <c r="G15" s="53"/>
      <c r="H15" s="53"/>
      <c r="I15" s="53"/>
      <c r="J15" s="53"/>
      <c r="K15" s="53"/>
      <c r="L15" s="32"/>
    </row>
    <row r="16" spans="1:12" s="3" customFormat="1" ht="25.5" customHeight="1">
      <c r="A16" s="53"/>
      <c r="B16" s="53"/>
      <c r="C16" s="53"/>
      <c r="D16" s="12" t="s">
        <v>3</v>
      </c>
      <c r="E16" s="53" t="s">
        <v>4</v>
      </c>
      <c r="F16" s="53"/>
      <c r="G16" s="53"/>
      <c r="H16" s="53"/>
      <c r="I16" s="53"/>
      <c r="J16" s="53"/>
      <c r="K16" s="53"/>
      <c r="L16" s="32"/>
    </row>
    <row r="17" spans="1:12" s="3" customFormat="1" ht="15">
      <c r="A17" s="53"/>
      <c r="B17" s="53"/>
      <c r="C17" s="53"/>
      <c r="D17" s="1"/>
      <c r="E17" s="12" t="s">
        <v>5</v>
      </c>
      <c r="F17" s="12" t="s">
        <v>9</v>
      </c>
      <c r="G17" s="12" t="s">
        <v>10</v>
      </c>
      <c r="H17" s="12" t="s">
        <v>11</v>
      </c>
      <c r="I17" s="12" t="s">
        <v>12</v>
      </c>
      <c r="J17" s="12" t="s">
        <v>13</v>
      </c>
      <c r="K17" s="12" t="s">
        <v>69</v>
      </c>
      <c r="L17" s="32"/>
    </row>
    <row r="18" spans="1:12" s="3" customFormat="1" ht="12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32"/>
    </row>
    <row r="19" spans="1:12" ht="15" customHeight="1">
      <c r="A19" s="55"/>
      <c r="B19" s="51" t="s">
        <v>6</v>
      </c>
      <c r="C19" s="51" t="s">
        <v>79</v>
      </c>
      <c r="D19" s="20" t="s">
        <v>28</v>
      </c>
      <c r="E19" s="17">
        <f>E21+E22</f>
        <v>4201319</v>
      </c>
      <c r="F19" s="22">
        <f aca="true" t="shared" si="0" ref="F19:K19">F21+F22+F23</f>
        <v>4359158.426999999</v>
      </c>
      <c r="G19" s="30">
        <f t="shared" si="0"/>
        <v>4607345.01009</v>
      </c>
      <c r="H19" s="30">
        <f t="shared" si="0"/>
        <v>5386696.259110001</v>
      </c>
      <c r="I19" s="30">
        <f t="shared" si="0"/>
        <v>5751241.19876</v>
      </c>
      <c r="J19" s="22">
        <f t="shared" si="0"/>
        <v>5839245.681000001</v>
      </c>
      <c r="K19" s="17">
        <f t="shared" si="0"/>
        <v>6133185.63</v>
      </c>
      <c r="L19" s="33">
        <f>E19+F19+G19+H19+I19+J19+K19</f>
        <v>36278191.20596</v>
      </c>
    </row>
    <row r="20" spans="1:12" ht="15">
      <c r="A20" s="55"/>
      <c r="B20" s="51"/>
      <c r="C20" s="51"/>
      <c r="D20" s="50" t="s">
        <v>32</v>
      </c>
      <c r="E20" s="50"/>
      <c r="F20" s="50"/>
      <c r="G20" s="50"/>
      <c r="H20" s="50"/>
      <c r="I20" s="50"/>
      <c r="J20" s="50"/>
      <c r="K20" s="50"/>
      <c r="L20" s="33">
        <f aca="true" t="shared" si="1" ref="L20:L89">E20+F20+G20+H20+I20+J20+K20</f>
        <v>0</v>
      </c>
    </row>
    <row r="21" spans="1:12" ht="15" customHeight="1">
      <c r="A21" s="55"/>
      <c r="B21" s="51"/>
      <c r="C21" s="51"/>
      <c r="D21" s="20" t="s">
        <v>7</v>
      </c>
      <c r="E21" s="17">
        <f>E30+E72+E78+E84+E89+E105</f>
        <v>1268780.3</v>
      </c>
      <c r="F21" s="22">
        <f aca="true" t="shared" si="2" ref="F21:K22">F30+F72+F78+F84+F89+F105+F95</f>
        <v>1279712.2270000002</v>
      </c>
      <c r="G21" s="30">
        <f t="shared" si="2"/>
        <v>1396810.2456899998</v>
      </c>
      <c r="H21" s="30">
        <f t="shared" si="2"/>
        <v>1567073.90784</v>
      </c>
      <c r="I21" s="30">
        <f t="shared" si="2"/>
        <v>1707897.92439</v>
      </c>
      <c r="J21" s="22">
        <f t="shared" si="2"/>
        <v>1805201.0810000005</v>
      </c>
      <c r="K21" s="17">
        <f t="shared" si="2"/>
        <v>1838513.33</v>
      </c>
      <c r="L21" s="33">
        <f t="shared" si="1"/>
        <v>10863989.015920002</v>
      </c>
    </row>
    <row r="22" spans="1:12" ht="40.5" customHeight="1">
      <c r="A22" s="55"/>
      <c r="B22" s="51"/>
      <c r="C22" s="51"/>
      <c r="D22" s="20" t="s">
        <v>8</v>
      </c>
      <c r="E22" s="17">
        <f>E31+E73+E79+E85+E90+E106+E96</f>
        <v>2932538.7</v>
      </c>
      <c r="F22" s="15">
        <f t="shared" si="2"/>
        <v>3076042.8999999994</v>
      </c>
      <c r="G22" s="30">
        <f t="shared" si="2"/>
        <v>3210534.7644</v>
      </c>
      <c r="H22" s="30">
        <f t="shared" si="2"/>
        <v>3818472.351270001</v>
      </c>
      <c r="I22" s="30">
        <f t="shared" si="2"/>
        <v>4042296.0743699996</v>
      </c>
      <c r="J22" s="22">
        <f t="shared" si="2"/>
        <v>4034044.6000000006</v>
      </c>
      <c r="K22" s="17">
        <f t="shared" si="2"/>
        <v>4294672.3</v>
      </c>
      <c r="L22" s="33">
        <f t="shared" si="1"/>
        <v>25408601.690040004</v>
      </c>
    </row>
    <row r="23" spans="1:12" ht="40.5" customHeight="1">
      <c r="A23" s="55"/>
      <c r="B23" s="51"/>
      <c r="C23" s="51"/>
      <c r="D23" s="20" t="s">
        <v>67</v>
      </c>
      <c r="E23" s="17">
        <f aca="true" t="shared" si="3" ref="E23:K23">E28</f>
        <v>0</v>
      </c>
      <c r="F23" s="17">
        <f t="shared" si="3"/>
        <v>3403.3</v>
      </c>
      <c r="G23" s="17">
        <f t="shared" si="3"/>
        <v>0</v>
      </c>
      <c r="H23" s="17">
        <f t="shared" si="3"/>
        <v>1150</v>
      </c>
      <c r="I23" s="17">
        <f t="shared" si="3"/>
        <v>1047.2</v>
      </c>
      <c r="J23" s="17">
        <f t="shared" si="3"/>
        <v>0</v>
      </c>
      <c r="K23" s="17">
        <f t="shared" si="3"/>
        <v>0</v>
      </c>
      <c r="L23" s="33">
        <f t="shared" si="1"/>
        <v>5600.5</v>
      </c>
    </row>
    <row r="24" spans="1:12" ht="15.75" customHeight="1">
      <c r="A24" s="50" t="s">
        <v>18</v>
      </c>
      <c r="B24" s="53" t="s">
        <v>31</v>
      </c>
      <c r="C24" s="51" t="s">
        <v>30</v>
      </c>
      <c r="D24" s="20" t="s">
        <v>29</v>
      </c>
      <c r="E24" s="17">
        <f aca="true" t="shared" si="4" ref="E24:K24">E26+E27+E28</f>
        <v>4159705.2</v>
      </c>
      <c r="F24" s="22">
        <f t="shared" si="4"/>
        <v>4319202.226999999</v>
      </c>
      <c r="G24" s="30">
        <f t="shared" si="4"/>
        <v>4563229.51009</v>
      </c>
      <c r="H24" s="30">
        <f t="shared" si="4"/>
        <v>5342875.2256000005</v>
      </c>
      <c r="I24" s="30">
        <f t="shared" si="4"/>
        <v>5707241.29876</v>
      </c>
      <c r="J24" s="22">
        <f t="shared" si="4"/>
        <v>5793814.381000001</v>
      </c>
      <c r="K24" s="17">
        <f t="shared" si="4"/>
        <v>6086155.130000001</v>
      </c>
      <c r="L24" s="33">
        <f t="shared" si="1"/>
        <v>35972222.97245</v>
      </c>
    </row>
    <row r="25" spans="1:12" ht="15">
      <c r="A25" s="50"/>
      <c r="B25" s="53"/>
      <c r="C25" s="51"/>
      <c r="D25" s="50" t="s">
        <v>32</v>
      </c>
      <c r="E25" s="50"/>
      <c r="F25" s="50"/>
      <c r="G25" s="50"/>
      <c r="H25" s="50"/>
      <c r="I25" s="50"/>
      <c r="J25" s="50"/>
      <c r="K25" s="50"/>
      <c r="L25" s="33">
        <f t="shared" si="1"/>
        <v>0</v>
      </c>
    </row>
    <row r="26" spans="1:12" ht="25.5">
      <c r="A26" s="50"/>
      <c r="B26" s="53"/>
      <c r="C26" s="51"/>
      <c r="D26" s="20" t="s">
        <v>7</v>
      </c>
      <c r="E26" s="18">
        <f>E30+E72+E84+E78+E89</f>
        <v>1232568.2</v>
      </c>
      <c r="F26" s="23">
        <f aca="true" t="shared" si="5" ref="F26:K27">F30+F72+F84+F78+F89+F95</f>
        <v>1244964.127</v>
      </c>
      <c r="G26" s="31">
        <f t="shared" si="5"/>
        <v>1360223.2456899998</v>
      </c>
      <c r="H26" s="31">
        <f t="shared" si="5"/>
        <v>1531911.57433</v>
      </c>
      <c r="I26" s="31">
        <f t="shared" si="5"/>
        <v>1673019.62439</v>
      </c>
      <c r="J26" s="23">
        <f t="shared" si="5"/>
        <v>1769242.9810000004</v>
      </c>
      <c r="K26" s="18">
        <f t="shared" si="5"/>
        <v>1801289.9300000002</v>
      </c>
      <c r="L26" s="33">
        <f t="shared" si="1"/>
        <v>10613219.68241</v>
      </c>
    </row>
    <row r="27" spans="1:12" ht="51">
      <c r="A27" s="50"/>
      <c r="B27" s="53"/>
      <c r="C27" s="51"/>
      <c r="D27" s="20" t="s">
        <v>8</v>
      </c>
      <c r="E27" s="18">
        <f>E31+E73+E85+E79+E90+E96</f>
        <v>2927137</v>
      </c>
      <c r="F27" s="16">
        <f t="shared" si="5"/>
        <v>3070834.7999999993</v>
      </c>
      <c r="G27" s="31">
        <f t="shared" si="5"/>
        <v>3203006.2644</v>
      </c>
      <c r="H27" s="31">
        <f t="shared" si="5"/>
        <v>3809813.6512700007</v>
      </c>
      <c r="I27" s="31">
        <f t="shared" si="5"/>
        <v>4033174.4743699995</v>
      </c>
      <c r="J27" s="23">
        <f t="shared" si="5"/>
        <v>4024571.4000000004</v>
      </c>
      <c r="K27" s="18">
        <f t="shared" si="5"/>
        <v>4284865.2</v>
      </c>
      <c r="L27" s="33">
        <f t="shared" si="1"/>
        <v>25353402.790039998</v>
      </c>
    </row>
    <row r="28" spans="1:12" ht="51">
      <c r="A28" s="50"/>
      <c r="B28" s="53"/>
      <c r="C28" s="51"/>
      <c r="D28" s="20" t="s">
        <v>67</v>
      </c>
      <c r="E28" s="18">
        <f aca="true" t="shared" si="6" ref="E28:K28">E32</f>
        <v>0</v>
      </c>
      <c r="F28" s="18">
        <f t="shared" si="6"/>
        <v>3403.3</v>
      </c>
      <c r="G28" s="18">
        <f t="shared" si="6"/>
        <v>0</v>
      </c>
      <c r="H28" s="18">
        <f t="shared" si="6"/>
        <v>1150</v>
      </c>
      <c r="I28" s="18">
        <f t="shared" si="6"/>
        <v>1047.2</v>
      </c>
      <c r="J28" s="18">
        <f t="shared" si="6"/>
        <v>0</v>
      </c>
      <c r="K28" s="18">
        <f t="shared" si="6"/>
        <v>0</v>
      </c>
      <c r="L28" s="33">
        <f t="shared" si="1"/>
        <v>5600.5</v>
      </c>
    </row>
    <row r="29" spans="1:12" ht="15">
      <c r="A29" s="50"/>
      <c r="B29" s="53"/>
      <c r="C29" s="49" t="s">
        <v>14</v>
      </c>
      <c r="D29" s="49"/>
      <c r="E29" s="49"/>
      <c r="F29" s="49"/>
      <c r="G29" s="49"/>
      <c r="H29" s="49"/>
      <c r="I29" s="49"/>
      <c r="J29" s="49"/>
      <c r="K29" s="49"/>
      <c r="L29" s="33">
        <f t="shared" si="1"/>
        <v>0</v>
      </c>
    </row>
    <row r="30" spans="1:12" ht="25.5">
      <c r="A30" s="50"/>
      <c r="B30" s="53"/>
      <c r="C30" s="51" t="s">
        <v>19</v>
      </c>
      <c r="D30" s="20" t="s">
        <v>7</v>
      </c>
      <c r="E30" s="17">
        <f aca="true" t="shared" si="7" ref="E30:J30">E34+E36+E40+E42+E44+E46+E47+E48+E50+E52+E54+E55+E60+E61+E62</f>
        <v>1228894.7</v>
      </c>
      <c r="F30" s="22">
        <f t="shared" si="7"/>
        <v>1241102.327</v>
      </c>
      <c r="G30" s="30">
        <f>G34+G36+G40+G42+G44+G46+G47+G48+G50+G52+G54+G55+G60+G61+G62+G66</f>
        <v>1356382.5456899998</v>
      </c>
      <c r="H30" s="30">
        <f t="shared" si="7"/>
        <v>1531801.77433</v>
      </c>
      <c r="I30" s="30">
        <f>I34+I36+I40+I42+I44+I46+I47+I48+I50+I52+I54+I55+I60+I61+I62+I68+I70</f>
        <v>1673009.62439</v>
      </c>
      <c r="J30" s="22">
        <f t="shared" si="7"/>
        <v>1769232.9810000004</v>
      </c>
      <c r="K30" s="15">
        <f>K34+K36+K40+K42+K44+K46+K47+K48+K50+K52+K54+K55+K60+K61+K62</f>
        <v>1801279.9300000002</v>
      </c>
      <c r="L30" s="33">
        <f t="shared" si="1"/>
        <v>10601703.882410001</v>
      </c>
    </row>
    <row r="31" spans="1:12" ht="42.75" customHeight="1">
      <c r="A31" s="50"/>
      <c r="B31" s="53"/>
      <c r="C31" s="51"/>
      <c r="D31" s="20" t="s">
        <v>8</v>
      </c>
      <c r="E31" s="17">
        <f>E38+E39+E49+E57+E58+E59+E63+E64+E35+E43+E56</f>
        <v>2895912.3</v>
      </c>
      <c r="F31" s="17">
        <f>F38+F39+F49+F57+F58+F59+F63+F64+F35+F43+F56</f>
        <v>3037653.5999999996</v>
      </c>
      <c r="G31" s="30">
        <f>G38+G39+G49+G57+G58+G59+G63+G64+G53+G35+G43+G56</f>
        <v>3164913.1644</v>
      </c>
      <c r="H31" s="30">
        <f>H38+H39+H49+H57+H58+H59+H63+H64+H35+H43+H56+H45+H53+H41+H37+H51+H66</f>
        <v>3776756.0512700006</v>
      </c>
      <c r="I31" s="30">
        <f>I38+I39+I49+I57+I58+I59+I63+I64+I35+I43+I56+I45+I53+I41+I37+I51+I66+I67+I69</f>
        <v>3995532.2743699993</v>
      </c>
      <c r="J31" s="22">
        <f>J38+J39+J49+J57+J58+J59+J63+J64+J35+J43+J56+J45+J53+J41+J37+J51+J66+J67+J69</f>
        <v>3991468.3600000003</v>
      </c>
      <c r="K31" s="17">
        <f>K38+K39+K49+K57+K58+K59+K63+K64+K35+K43+K56+K45+K53+K41+K37+K51+K66+K67+K69</f>
        <v>4251762.16</v>
      </c>
      <c r="L31" s="33">
        <f t="shared" si="1"/>
        <v>25113997.91004</v>
      </c>
    </row>
    <row r="32" spans="1:12" ht="42.75" customHeight="1">
      <c r="A32" s="50"/>
      <c r="B32" s="53"/>
      <c r="C32" s="51"/>
      <c r="D32" s="20" t="s">
        <v>67</v>
      </c>
      <c r="E32" s="17">
        <f aca="true" t="shared" si="8" ref="E32:K32">E65</f>
        <v>0</v>
      </c>
      <c r="F32" s="17">
        <f t="shared" si="8"/>
        <v>3403.3</v>
      </c>
      <c r="G32" s="17">
        <f t="shared" si="8"/>
        <v>0</v>
      </c>
      <c r="H32" s="17">
        <f t="shared" si="8"/>
        <v>1150</v>
      </c>
      <c r="I32" s="17">
        <f t="shared" si="8"/>
        <v>1047.2</v>
      </c>
      <c r="J32" s="17">
        <f t="shared" si="8"/>
        <v>0</v>
      </c>
      <c r="K32" s="17">
        <f t="shared" si="8"/>
        <v>0</v>
      </c>
      <c r="L32" s="33">
        <f t="shared" si="1"/>
        <v>5600.5</v>
      </c>
    </row>
    <row r="33" spans="1:12" ht="15">
      <c r="A33" s="50"/>
      <c r="B33" s="53"/>
      <c r="C33" s="50" t="s">
        <v>33</v>
      </c>
      <c r="D33" s="50"/>
      <c r="E33" s="50"/>
      <c r="F33" s="50"/>
      <c r="G33" s="50"/>
      <c r="H33" s="50"/>
      <c r="I33" s="50"/>
      <c r="J33" s="50"/>
      <c r="K33" s="38"/>
      <c r="L33" s="33">
        <f t="shared" si="1"/>
        <v>0</v>
      </c>
    </row>
    <row r="34" spans="1:15" ht="42" customHeight="1">
      <c r="A34" s="50"/>
      <c r="B34" s="53"/>
      <c r="C34" s="50" t="s">
        <v>23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29">
        <f>446458.7-24738.3-39667.5-27051.4-12304.9-420.3-46.8+2792.3+85+874-874+1385.8+457.9+8.7+458.5+8+11134.24418+615.98618+29.5421</f>
        <v>359205.47246</v>
      </c>
      <c r="H34" s="29">
        <f>471944.5-337.5+280.8+378.7-1369.6-32+1355.645+13.025-79.1+426.864+474.793+7.982+1.001-101.881-33.63293-2.935-21.26488+1226.6-45.82+5483.566+42.415</f>
        <v>479612.15719000006</v>
      </c>
      <c r="I34" s="24">
        <f>502382.165+59.9+910.7+89.3-55.9+60.1+723.1+45.9+360.9-120+587.1-176-1.9-71.2+118+100</f>
        <v>505012.1649999999</v>
      </c>
      <c r="J34" s="24">
        <f>570303-329.749</f>
        <v>569973.251</v>
      </c>
      <c r="K34" s="2">
        <v>582227.1</v>
      </c>
      <c r="L34" s="33">
        <f t="shared" si="1"/>
        <v>3151512.54565</v>
      </c>
      <c r="N34" s="10"/>
      <c r="O34" s="10"/>
    </row>
    <row r="35" spans="1:15" ht="25.5">
      <c r="A35" s="50"/>
      <c r="B35" s="53"/>
      <c r="C35" s="50"/>
      <c r="D35" s="1" t="s">
        <v>17</v>
      </c>
      <c r="E35" s="2"/>
      <c r="F35" s="2"/>
      <c r="G35" s="29"/>
      <c r="H35" s="24">
        <f>26631.3-26024.1-607.2+25757.255+247.475+17302.16</f>
        <v>43306.89</v>
      </c>
      <c r="I35" s="24">
        <v>54561.635</v>
      </c>
      <c r="J35" s="2">
        <v>0</v>
      </c>
      <c r="K35" s="2">
        <v>0</v>
      </c>
      <c r="L35" s="33">
        <f t="shared" si="1"/>
        <v>97868.525</v>
      </c>
      <c r="N35" s="10"/>
      <c r="O35" s="10"/>
    </row>
    <row r="36" spans="1:15" ht="25.5">
      <c r="A36" s="50"/>
      <c r="B36" s="53"/>
      <c r="C36" s="47" t="s">
        <v>24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9">
        <f>12618.8-4680-297.84471</f>
        <v>7640.955289999999</v>
      </c>
      <c r="I36" s="2">
        <f>12618.8-4006</f>
        <v>8612.8</v>
      </c>
      <c r="J36" s="2">
        <v>12618.8</v>
      </c>
      <c r="K36" s="2">
        <v>12618.8</v>
      </c>
      <c r="L36" s="33">
        <f t="shared" si="1"/>
        <v>68287.45529</v>
      </c>
      <c r="N36" s="10"/>
      <c r="O36" s="10"/>
    </row>
    <row r="37" spans="1:15" ht="39" customHeight="1">
      <c r="A37" s="50"/>
      <c r="B37" s="53"/>
      <c r="C37" s="48"/>
      <c r="D37" s="1" t="s">
        <v>17</v>
      </c>
      <c r="E37" s="2"/>
      <c r="F37" s="2"/>
      <c r="G37" s="2"/>
      <c r="H37" s="29">
        <f>18640-1191.37885</f>
        <v>17448.62115</v>
      </c>
      <c r="I37" s="2">
        <v>0</v>
      </c>
      <c r="J37" s="2">
        <v>0</v>
      </c>
      <c r="K37" s="2">
        <v>0</v>
      </c>
      <c r="L37" s="33">
        <f t="shared" si="1"/>
        <v>17448.62115</v>
      </c>
      <c r="N37" s="10"/>
      <c r="O37" s="10"/>
    </row>
    <row r="38" spans="1:15" ht="80.25" customHeight="1">
      <c r="A38" s="50"/>
      <c r="B38" s="53"/>
      <c r="C38" s="1" t="s">
        <v>43</v>
      </c>
      <c r="D38" s="1" t="s">
        <v>17</v>
      </c>
      <c r="E38" s="2">
        <f>1433304.7+1242544.7-55754.9+24845.8+869+43009.7+919.9-1454.5+7243.2+8300.7+5624.4</f>
        <v>2709452.7</v>
      </c>
      <c r="F38" s="2">
        <f>2728125.3+13864.7+26703.5+12374.3+242.8+7683.6+30207.7+596.4</f>
        <v>2819798.3</v>
      </c>
      <c r="G38" s="2">
        <f>2884053.5+12519.5+7174.4+2885.4+5920.3+7787.7+11148.7+15.7</f>
        <v>2931505.2</v>
      </c>
      <c r="H38" s="2">
        <f>3233985.8+12960.867+261.433+15398.901+861.999+17298.1+4855.1+26842.2+28565.2</f>
        <v>3341029.6000000006</v>
      </c>
      <c r="I38" s="2">
        <f>3525286.9+969.4+7800.5+2703.1+736.4</f>
        <v>3537496.3</v>
      </c>
      <c r="J38" s="2">
        <v>3738716</v>
      </c>
      <c r="K38" s="2">
        <v>3991032.1</v>
      </c>
      <c r="L38" s="33">
        <f t="shared" si="1"/>
        <v>23069030.200000003</v>
      </c>
      <c r="N38" s="10"/>
      <c r="O38" s="10"/>
    </row>
    <row r="39" spans="1:15" ht="54" customHeight="1">
      <c r="A39" s="50"/>
      <c r="B39" s="53"/>
      <c r="C39" s="1" t="s">
        <v>37</v>
      </c>
      <c r="D39" s="1" t="s">
        <v>17</v>
      </c>
      <c r="E39" s="2">
        <f>7458.6-284.1+187-1091.7-72</f>
        <v>6197.8</v>
      </c>
      <c r="F39" s="2">
        <f>6543.9-197.4-9.2</f>
        <v>6337.3</v>
      </c>
      <c r="G39" s="2">
        <f>6617.8+64.1+28.3-689.1-124.8</f>
        <v>5896.3</v>
      </c>
      <c r="H39" s="42">
        <f>6342+111.5-2444.5-2.2-0.012</f>
        <v>4006.788</v>
      </c>
      <c r="I39" s="2">
        <v>0</v>
      </c>
      <c r="J39" s="2">
        <v>0</v>
      </c>
      <c r="K39" s="2">
        <v>0</v>
      </c>
      <c r="L39" s="33">
        <f t="shared" si="1"/>
        <v>22438.188000000002</v>
      </c>
      <c r="N39" s="10"/>
      <c r="O39" s="10"/>
    </row>
    <row r="40" spans="1:15" ht="25.5">
      <c r="A40" s="50"/>
      <c r="B40" s="53"/>
      <c r="C40" s="50" t="s">
        <v>39</v>
      </c>
      <c r="D40" s="1" t="s">
        <v>7</v>
      </c>
      <c r="E40" s="2">
        <f>296614.6-8058.4-184.1-11-12.2-12.2+202.9+570.3+20075.7+48.4-105.5-14112.4-48.4+696.5-97.3+776.5+933.3-240.2-0.3+3000-0.8-42.3+6924.6+2042-32.3-4.9-7.5-97.6-1706.6</f>
        <v>307110.8</v>
      </c>
      <c r="F40" s="2">
        <f>293800.4+86-66.8-1920.7-54.1+86-1458-36-644.5-217+43-1419.2-35.3-23.9+54.1+337.2+12.8-793.8-0.7+33.4-25.3-157.8+197.8+78.8+428.7+20.1+8182.6+397.4+14.1+276.2</f>
        <v>297195.5</v>
      </c>
      <c r="G40" s="29">
        <f>289681.5-91.1-107.4-25.2-4704.5-734.3+1040.3-427.3-640.5-399.8-1413.8+804.1+89.1+1.8+715.4+160+189.5+230.7+13192.42853+726.21652</f>
        <v>298287.14505</v>
      </c>
      <c r="H40" s="29">
        <f>347012.6+237.3-7.3-3537.4-339.4+176.87+16.97+79.1-50.2+72.333+71.711+10.266-596.28445-4.75764+1000-114.35007-20.527-216.76379-9.354-78.06512+250.3-19.75+5008.807+233.193</f>
        <v>349175.2979299999</v>
      </c>
      <c r="I40" s="42">
        <f>329218.11-1266.9+1264.1+35.9+53.9-1.14+920.9+19.5-3.76-5895.3-3.37-1.93-6.35-17.037-4.404-8.8-13.8-0.3+200</f>
        <v>324489.3190000001</v>
      </c>
      <c r="J40" s="24">
        <f>340741.8+54.4-1.16-3.81-7.742-3.162-10.98-21.823-15.83-28.2-38.3</f>
        <v>340665.193</v>
      </c>
      <c r="K40" s="24">
        <f>343179.9+54.4-1.16-3.81-7.742-3.162-10.98-21.823-15.83-28.2-38.3</f>
        <v>343103.29300000006</v>
      </c>
      <c r="L40" s="33">
        <f t="shared" si="1"/>
        <v>2260026.5479800003</v>
      </c>
      <c r="N40" s="10"/>
      <c r="O40" s="10"/>
    </row>
    <row r="41" spans="1:15" ht="25.5">
      <c r="A41" s="50"/>
      <c r="B41" s="53"/>
      <c r="C41" s="50"/>
      <c r="D41" s="1" t="s">
        <v>17</v>
      </c>
      <c r="E41" s="2"/>
      <c r="F41" s="2"/>
      <c r="G41" s="29"/>
      <c r="H41" s="24">
        <f>3360.53+322.43+2931.89</f>
        <v>6614.85</v>
      </c>
      <c r="I41" s="42">
        <v>6120.09</v>
      </c>
      <c r="J41" s="2">
        <v>0</v>
      </c>
      <c r="K41" s="2">
        <v>0</v>
      </c>
      <c r="L41" s="33">
        <f t="shared" si="1"/>
        <v>12734.94</v>
      </c>
      <c r="N41" s="10"/>
      <c r="O41" s="10"/>
    </row>
    <row r="42" spans="1:15" ht="17.25" customHeight="1">
      <c r="A42" s="50"/>
      <c r="B42" s="53"/>
      <c r="C42" s="50" t="s">
        <v>26</v>
      </c>
      <c r="D42" s="1" t="s">
        <v>7</v>
      </c>
      <c r="E42" s="2">
        <f>255875-1278.5-68.6-13718+12.2-629.1+1120.2-1005.2-15.8+240.5+556.3+4.9-40.4-143.1-117.2</f>
        <v>240793.19999999998</v>
      </c>
      <c r="F42" s="2">
        <f>239832.6-156-497.1-18.9-5-272.2-216.6+25.3+355.6+728.4+822.7+2286.1+15983.3</f>
        <v>258868.19999999998</v>
      </c>
      <c r="G42" s="29">
        <f>260416.2+91.1-687.4+5.3+1003.2-267.2+159.5+504+8932.8+681.93318+276.6442</f>
        <v>271116.07738</v>
      </c>
      <c r="H42" s="24">
        <f>261617+24.9+7.3+1762.6-370.1-159881.6+281.95+159881.6-57.3-44.6+109.29+123.86-3456.6-404.898-93.8+232.019</f>
        <v>259731.62100000004</v>
      </c>
      <c r="I42" s="42">
        <f>313581.03+177.6+211.2-53.9-142.3+90.6+3.76+5.3+281.7+17.037+8.8+310.8+39.1</f>
        <v>314530.72699999996</v>
      </c>
      <c r="J42" s="24">
        <f>370467.1-54.4-144.5+3.81+10.904+21.823+28.2</f>
        <v>370332.9369999999</v>
      </c>
      <c r="K42" s="24">
        <f>392294.7-54.4-144.5+3.81+10.904+21.823+28.2</f>
        <v>392160.53699999995</v>
      </c>
      <c r="L42" s="33">
        <f t="shared" si="1"/>
        <v>2107533.2993799997</v>
      </c>
      <c r="N42" s="10"/>
      <c r="O42" s="10"/>
    </row>
    <row r="43" spans="1:15" ht="27.75" customHeight="1">
      <c r="A43" s="50"/>
      <c r="B43" s="53"/>
      <c r="C43" s="50"/>
      <c r="D43" s="1" t="s">
        <v>17</v>
      </c>
      <c r="E43" s="2"/>
      <c r="F43" s="2"/>
      <c r="G43" s="29"/>
      <c r="H43" s="24">
        <f>35797.6-7031.5-28766.1+5357.05+28766.1+4429.85+3456.6+1842.7</f>
        <v>43852.299999999996</v>
      </c>
      <c r="I43" s="42">
        <v>42770.57</v>
      </c>
      <c r="J43" s="2">
        <v>0</v>
      </c>
      <c r="K43" s="2">
        <f aca="true" t="shared" si="9" ref="K43:K65">J43</f>
        <v>0</v>
      </c>
      <c r="L43" s="33">
        <f t="shared" si="1"/>
        <v>86622.87</v>
      </c>
      <c r="N43" s="10"/>
      <c r="O43" s="10"/>
    </row>
    <row r="44" spans="1:15" ht="25.5">
      <c r="A44" s="50"/>
      <c r="B44" s="53"/>
      <c r="C44" s="50" t="s">
        <v>52</v>
      </c>
      <c r="D44" s="1" t="s">
        <v>7</v>
      </c>
      <c r="E44" s="2">
        <f>7265-250.2</f>
        <v>7014.8</v>
      </c>
      <c r="F44" s="2">
        <f>7014.8-133.8</f>
        <v>6881</v>
      </c>
      <c r="G44" s="29">
        <f>7431.2-1.1+30-30+4.6+18.9+10+30.4558</f>
        <v>7494.055799999999</v>
      </c>
      <c r="H44" s="24">
        <f>7786.5-4747.9-226.6+11.33+4.906+5.559+121.5</f>
        <v>2955.2950000000005</v>
      </c>
      <c r="I44" s="14">
        <f>2952.12+350.1</f>
        <v>3302.22</v>
      </c>
      <c r="J44" s="2">
        <v>3564.1</v>
      </c>
      <c r="K44" s="2">
        <v>3649.1</v>
      </c>
      <c r="L44" s="33">
        <f t="shared" si="1"/>
        <v>34860.5708</v>
      </c>
      <c r="N44" s="39">
        <f>L44+L95+L92+L86+L81+L75</f>
        <v>46376.3708</v>
      </c>
      <c r="O44" s="10"/>
    </row>
    <row r="45" spans="1:15" ht="39" customHeight="1">
      <c r="A45" s="50"/>
      <c r="B45" s="53"/>
      <c r="C45" s="50"/>
      <c r="D45" s="1" t="s">
        <v>17</v>
      </c>
      <c r="E45" s="2"/>
      <c r="F45" s="2"/>
      <c r="G45" s="29"/>
      <c r="H45" s="24">
        <f>22152+215.27+198.835</f>
        <v>22566.105</v>
      </c>
      <c r="I45" s="14">
        <f>25155+534.28+1290</f>
        <v>26979.28</v>
      </c>
      <c r="J45" s="2">
        <v>22152</v>
      </c>
      <c r="K45" s="2">
        <v>22152</v>
      </c>
      <c r="L45" s="33">
        <f t="shared" si="1"/>
        <v>93849.385</v>
      </c>
      <c r="N45" s="39">
        <f>L45+L96+L93+L87+L82+L76</f>
        <v>333254.265</v>
      </c>
      <c r="O45" s="10"/>
    </row>
    <row r="46" spans="1:15" ht="30.75" customHeight="1">
      <c r="A46" s="50"/>
      <c r="B46" s="53"/>
      <c r="C46" s="1" t="s">
        <v>45</v>
      </c>
      <c r="D46" s="1" t="s">
        <v>7</v>
      </c>
      <c r="E46" s="2">
        <f>64757.2-5627.3-212.3-615</f>
        <v>58302.59999999999</v>
      </c>
      <c r="F46" s="2">
        <f>82529.4-805.2-2270.3-156.9-341.9-6431-300.4</f>
        <v>72223.70000000001</v>
      </c>
      <c r="G46" s="2">
        <f>80244.1-582.2-6579.7-850.7</f>
        <v>72231.50000000001</v>
      </c>
      <c r="H46" s="29">
        <f>85919.5-1588-111.33416-434.29986</f>
        <v>83785.86598</v>
      </c>
      <c r="I46" s="2">
        <f>92195.1-1094.4-184.3</f>
        <v>90916.40000000001</v>
      </c>
      <c r="J46" s="2">
        <v>92195.1</v>
      </c>
      <c r="K46" s="2">
        <v>92195.1</v>
      </c>
      <c r="L46" s="33">
        <f t="shared" si="1"/>
        <v>561850.26598</v>
      </c>
      <c r="N46" s="10"/>
      <c r="O46" s="10"/>
    </row>
    <row r="47" spans="1:15" ht="32.25" customHeight="1">
      <c r="A47" s="50"/>
      <c r="B47" s="53"/>
      <c r="C47" s="1" t="s">
        <v>27</v>
      </c>
      <c r="D47" s="1" t="s">
        <v>7</v>
      </c>
      <c r="E47" s="2">
        <f>57486.6-107.4-116.4-3894.9-5658.6-6124.9+171.4-933.3-1430.8</f>
        <v>39391.69999999999</v>
      </c>
      <c r="F47" s="2">
        <f>54815.6-1687.1-36.1-834.6-1193.6+25.9-276.2-791.6</f>
        <v>50022.30000000001</v>
      </c>
      <c r="G47" s="2">
        <f>53685.5+850.7</f>
        <v>54536.2</v>
      </c>
      <c r="H47" s="2">
        <f>60618.7-47.2-494.9-1000-2493.1-27.3</f>
        <v>56556.2</v>
      </c>
      <c r="I47" s="2">
        <v>65743.9</v>
      </c>
      <c r="J47" s="2">
        <v>65743.9</v>
      </c>
      <c r="K47" s="2">
        <v>65743.9</v>
      </c>
      <c r="L47" s="33">
        <f t="shared" si="1"/>
        <v>397738.1000000001</v>
      </c>
      <c r="N47" s="10"/>
      <c r="O47" s="10"/>
    </row>
    <row r="48" spans="1:15" ht="17.25" customHeight="1">
      <c r="A48" s="50"/>
      <c r="B48" s="53"/>
      <c r="C48" s="50" t="s">
        <v>48</v>
      </c>
      <c r="D48" s="1" t="s">
        <v>7</v>
      </c>
      <c r="E48" s="2">
        <f>5766.8+1216.1</f>
        <v>6982.9</v>
      </c>
      <c r="F48" s="2">
        <f>7088.4-14</f>
        <v>7074.4</v>
      </c>
      <c r="G48" s="2">
        <f>6657-183</f>
        <v>6474</v>
      </c>
      <c r="H48" s="2">
        <f>6453.4-6453.4</f>
        <v>0</v>
      </c>
      <c r="I48" s="2">
        <f>6453.4-6453.4</f>
        <v>0</v>
      </c>
      <c r="J48" s="2">
        <f>6453.4-6453.4</f>
        <v>0</v>
      </c>
      <c r="K48" s="2">
        <f t="shared" si="9"/>
        <v>0</v>
      </c>
      <c r="L48" s="33">
        <f t="shared" si="1"/>
        <v>20531.3</v>
      </c>
      <c r="N48" s="10"/>
      <c r="O48" s="10"/>
    </row>
    <row r="49" spans="1:15" ht="28.5" customHeight="1">
      <c r="A49" s="50"/>
      <c r="B49" s="53"/>
      <c r="C49" s="50"/>
      <c r="D49" s="1" t="s">
        <v>17</v>
      </c>
      <c r="E49" s="41">
        <v>10242.2</v>
      </c>
      <c r="F49" s="41">
        <v>10529.3</v>
      </c>
      <c r="G49" s="41">
        <v>9774.8</v>
      </c>
      <c r="H49" s="40">
        <f>24189.26+241.9+45.44-0.46973</f>
        <v>24476.130269999998</v>
      </c>
      <c r="I49" s="43">
        <f>25219.8+3.3+51.6</f>
        <v>25274.699999999997</v>
      </c>
      <c r="J49" s="43">
        <v>24430.66</v>
      </c>
      <c r="K49" s="43">
        <v>24430.66</v>
      </c>
      <c r="L49" s="33">
        <f>E49+F49+G49+H49+I49+J49+K49</f>
        <v>129158.45027</v>
      </c>
      <c r="N49" s="10"/>
      <c r="O49" s="10"/>
    </row>
    <row r="50" spans="1:15" ht="25.5">
      <c r="A50" s="50"/>
      <c r="B50" s="53"/>
      <c r="C50" s="47" t="s">
        <v>53</v>
      </c>
      <c r="D50" s="1" t="s">
        <v>7</v>
      </c>
      <c r="E50" s="2">
        <f>53754-22715.5+4665.3+200.3-878.9-2684.5</f>
        <v>32340.700000000004</v>
      </c>
      <c r="F50" s="2">
        <f>41133.5-6500-8797.2-7499.7+79.2+1029.5-546.1</f>
        <v>18899.2</v>
      </c>
      <c r="G50" s="29">
        <f>20112.9+8334.4+33-1406.5+64.55614+736-1369.7-1015.1-523.01552-629.2-233.737</f>
        <v>24103.60362</v>
      </c>
      <c r="H50" s="29">
        <f>24592+435-3654.8+2000+4680-152.92804</f>
        <v>27899.271960000002</v>
      </c>
      <c r="I50" s="45">
        <f>28485.42+480+55.9+19916.6689+3882.1-5113.22+102.5-20040.77+694+2232.23945</f>
        <v>30694.838349999995</v>
      </c>
      <c r="J50" s="2">
        <v>23372.2</v>
      </c>
      <c r="K50" s="2">
        <v>23372.2</v>
      </c>
      <c r="L50" s="33">
        <f t="shared" si="1"/>
        <v>180682.01393000002</v>
      </c>
      <c r="N50" s="10"/>
      <c r="O50" s="10"/>
    </row>
    <row r="51" spans="1:15" ht="51" customHeight="1">
      <c r="A51" s="50"/>
      <c r="B51" s="53"/>
      <c r="C51" s="48"/>
      <c r="D51" s="1" t="s">
        <v>17</v>
      </c>
      <c r="E51" s="2"/>
      <c r="F51" s="2"/>
      <c r="G51" s="29"/>
      <c r="H51" s="29">
        <f>36720-611.71215</f>
        <v>36108.28785</v>
      </c>
      <c r="I51" s="2">
        <v>0</v>
      </c>
      <c r="J51" s="2">
        <v>0</v>
      </c>
      <c r="K51" s="2">
        <v>0</v>
      </c>
      <c r="L51" s="33"/>
      <c r="N51" s="10"/>
      <c r="O51" s="10"/>
    </row>
    <row r="52" spans="1:15" ht="27" customHeight="1">
      <c r="A52" s="50"/>
      <c r="B52" s="53"/>
      <c r="C52" s="50" t="s">
        <v>54</v>
      </c>
      <c r="D52" s="1" t="s">
        <v>7</v>
      </c>
      <c r="E52" s="2">
        <f>66975.1-4729-1572.5-1238.5-1651.7+3235.2-3038.9+882.4-3513-2596.7+127.3+918.3+200+1232.7+1103.4+200.4-361.2</f>
        <v>56173.30000000002</v>
      </c>
      <c r="F52" s="14">
        <f>31866.5+1870.68-900+6500-82-564.2+391.7-99.9+1000+5565.1+112.7+452.4-862.9-314.1</f>
        <v>44935.979999999996</v>
      </c>
      <c r="G52" s="29">
        <f>73304.7+13845.4+26.4+1069.5-1497.9-64.55614-415.6+1040.3+30+505.2-731.705-246.96922-0.01526-500-136.1-17.9-43.363-30</f>
        <v>86137.39137999999</v>
      </c>
      <c r="H52" s="29">
        <f>83212.1+660-2000+510.24347-4096</f>
        <v>78286.34347</v>
      </c>
      <c r="I52" s="45">
        <f>66864.08+587+22506.93949+200+4550+2000-15462.59-160.19-264+4162.76055+512+1000-991.67733-4105.2+85.4</f>
        <v>81484.52271</v>
      </c>
      <c r="J52" s="2">
        <v>81872.1</v>
      </c>
      <c r="K52" s="2">
        <v>69419.7</v>
      </c>
      <c r="L52" s="33">
        <f t="shared" si="1"/>
        <v>498309.3375600001</v>
      </c>
      <c r="N52" s="10"/>
      <c r="O52" s="10"/>
    </row>
    <row r="53" spans="1:15" ht="39" customHeight="1">
      <c r="A53" s="50"/>
      <c r="B53" s="53"/>
      <c r="C53" s="50"/>
      <c r="D53" s="1" t="s">
        <v>17</v>
      </c>
      <c r="E53" s="2"/>
      <c r="F53" s="14"/>
      <c r="G53" s="29">
        <f>3831.331+18142.3-150.631-0.0356</f>
        <v>21822.9644</v>
      </c>
      <c r="H53" s="24">
        <v>5664.424</v>
      </c>
      <c r="I53" s="45">
        <f>3440-223.61496</f>
        <v>3216.38504</v>
      </c>
      <c r="J53" s="2">
        <v>0</v>
      </c>
      <c r="K53" s="2">
        <f t="shared" si="9"/>
        <v>0</v>
      </c>
      <c r="L53" s="33">
        <f t="shared" si="1"/>
        <v>30703.77344</v>
      </c>
      <c r="N53" s="10"/>
      <c r="O53" s="10"/>
    </row>
    <row r="54" spans="1:15" ht="68.25" customHeight="1">
      <c r="A54" s="50"/>
      <c r="B54" s="53"/>
      <c r="C54" s="1" t="s">
        <v>40</v>
      </c>
      <c r="D54" s="1" t="s">
        <v>7</v>
      </c>
      <c r="E54" s="2">
        <f>120758.8-275.1-15+43-208.7-43-11</f>
        <v>120249</v>
      </c>
      <c r="F54" s="2">
        <v>0</v>
      </c>
      <c r="G54" s="2">
        <f>120758.8-120758.8</f>
        <v>0</v>
      </c>
      <c r="H54" s="2">
        <f>120758.8-120758.8</f>
        <v>0</v>
      </c>
      <c r="I54" s="2">
        <f>120758.8-120758.8</f>
        <v>0</v>
      </c>
      <c r="J54" s="2">
        <f>120758.8-120758.8</f>
        <v>0</v>
      </c>
      <c r="K54" s="2">
        <f t="shared" si="9"/>
        <v>0</v>
      </c>
      <c r="L54" s="33">
        <f t="shared" si="1"/>
        <v>120249</v>
      </c>
      <c r="O54" s="10"/>
    </row>
    <row r="55" spans="1:15" ht="47.25" customHeight="1">
      <c r="A55" s="50"/>
      <c r="B55" s="53"/>
      <c r="C55" s="50" t="s">
        <v>63</v>
      </c>
      <c r="D55" s="1" t="s">
        <v>7</v>
      </c>
      <c r="E55" s="2">
        <f>5999.3-14-127.2-37.9</f>
        <v>5820.200000000001</v>
      </c>
      <c r="F55" s="2">
        <f>126612.5-66-20+2238-66-20-485.5-33-10-255.8-77.3-316.2-41.6-12.5-31-9.3-151.9-45.9+60+18.1+1385.2+418.3-280</f>
        <v>128810.1</v>
      </c>
      <c r="G55" s="2">
        <f>135079.5+107.4+647.4+195.5-36.9-0.6+1657+433.794+131.006-110.5-708.2+23+7</f>
        <v>137425.39999999997</v>
      </c>
      <c r="H55" s="29">
        <f>138759.9+1439.554+434.746-902.304-272.496+689.485+208.225+412.407+359.772+108.651-204.94349+2755.5+832.1</f>
        <v>144620.59651</v>
      </c>
      <c r="I55" s="24">
        <f>157137.085+390.1</f>
        <v>157527.185</v>
      </c>
      <c r="J55" s="2">
        <v>207916.7</v>
      </c>
      <c r="K55" s="2">
        <v>215811.5</v>
      </c>
      <c r="L55" s="33">
        <f t="shared" si="1"/>
        <v>997931.68151</v>
      </c>
      <c r="O55" s="10"/>
    </row>
    <row r="56" spans="1:15" ht="47.25" customHeight="1">
      <c r="A56" s="50"/>
      <c r="B56" s="53"/>
      <c r="C56" s="50"/>
      <c r="D56" s="1" t="s">
        <v>17</v>
      </c>
      <c r="E56" s="2"/>
      <c r="F56" s="2"/>
      <c r="G56" s="2"/>
      <c r="H56" s="24">
        <f>22320.6-17143.32-5177.28+13100.3+3956.29+16735.665</f>
        <v>33792.255000000005</v>
      </c>
      <c r="I56" s="24">
        <v>44042.615</v>
      </c>
      <c r="J56" s="2">
        <v>0</v>
      </c>
      <c r="K56" s="2">
        <f t="shared" si="9"/>
        <v>0</v>
      </c>
      <c r="L56" s="33">
        <f t="shared" si="1"/>
        <v>77834.87</v>
      </c>
      <c r="O56" s="10"/>
    </row>
    <row r="57" spans="1:15" ht="90.75" customHeight="1">
      <c r="A57" s="50"/>
      <c r="B57" s="53"/>
      <c r="C57" s="1" t="s">
        <v>55</v>
      </c>
      <c r="D57" s="1" t="s">
        <v>17</v>
      </c>
      <c r="E57" s="2">
        <f>98953.8+3613.9-6916-1081.8</f>
        <v>94569.9</v>
      </c>
      <c r="F57" s="2">
        <f>113018.5-0.6</f>
        <v>113017.9</v>
      </c>
      <c r="G57" s="2">
        <f>121331.9-2379.2-890</f>
        <v>118062.7</v>
      </c>
      <c r="H57" s="2">
        <f>125600.3-1049.6-1686.3</f>
        <v>122864.4</v>
      </c>
      <c r="I57" s="2">
        <f>126862.9+2976.6</f>
        <v>129839.5</v>
      </c>
      <c r="J57" s="2">
        <v>118013.9</v>
      </c>
      <c r="K57" s="2">
        <v>125991.6</v>
      </c>
      <c r="L57" s="33">
        <f t="shared" si="1"/>
        <v>822359.9</v>
      </c>
      <c r="O57" s="10"/>
    </row>
    <row r="58" spans="1:15" ht="141.75" customHeight="1" hidden="1">
      <c r="A58" s="50"/>
      <c r="B58" s="53"/>
      <c r="C58" s="1" t="s">
        <v>41</v>
      </c>
      <c r="D58" s="1" t="s">
        <v>17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f t="shared" si="9"/>
        <v>0</v>
      </c>
      <c r="L58" s="33">
        <f t="shared" si="1"/>
        <v>0</v>
      </c>
      <c r="O58" s="10"/>
    </row>
    <row r="59" spans="1:15" ht="64.5" customHeight="1">
      <c r="A59" s="50"/>
      <c r="B59" s="53"/>
      <c r="C59" s="1" t="s">
        <v>56</v>
      </c>
      <c r="D59" s="1" t="s">
        <v>17</v>
      </c>
      <c r="E59" s="14">
        <v>65357.8</v>
      </c>
      <c r="F59" s="2">
        <f>88310.9-6828-5250.9-2232</f>
        <v>74000</v>
      </c>
      <c r="G59" s="2">
        <f>73356.7-12537.5+5590</f>
        <v>66409.2</v>
      </c>
      <c r="H59" s="2">
        <f>66066+5486.9-4986-800-2353.5-4383</f>
        <v>59030.399999999994</v>
      </c>
      <c r="I59" s="2">
        <f>56926.4-1</f>
        <v>56925.4</v>
      </c>
      <c r="J59" s="2">
        <v>73406.7</v>
      </c>
      <c r="K59" s="2">
        <v>73406.7</v>
      </c>
      <c r="L59" s="33">
        <f t="shared" si="1"/>
        <v>468536.20000000007</v>
      </c>
      <c r="O59" s="10"/>
    </row>
    <row r="60" spans="1:15" ht="43.5" customHeight="1">
      <c r="A60" s="50"/>
      <c r="B60" s="53"/>
      <c r="C60" s="1" t="s">
        <v>57</v>
      </c>
      <c r="D60" s="1" t="s">
        <v>7</v>
      </c>
      <c r="E60" s="2">
        <f>845.6+250</f>
        <v>1095.6</v>
      </c>
      <c r="F60" s="2">
        <v>803.3</v>
      </c>
      <c r="G60" s="2">
        <f>743.6+196.5+146.4-20</f>
        <v>1066.5</v>
      </c>
      <c r="H60" s="2">
        <f>743.6+439.3+251.1</f>
        <v>1434</v>
      </c>
      <c r="I60" s="2">
        <f>743.6+15+475-90+70+1037.2+25+129</f>
        <v>2404.8</v>
      </c>
      <c r="J60" s="2">
        <f>743.6</f>
        <v>743.6</v>
      </c>
      <c r="K60" s="2">
        <f t="shared" si="9"/>
        <v>743.6</v>
      </c>
      <c r="L60" s="33">
        <f t="shared" si="1"/>
        <v>8291.4</v>
      </c>
      <c r="O60" s="10"/>
    </row>
    <row r="61" spans="1:15" ht="51">
      <c r="A61" s="50"/>
      <c r="B61" s="53"/>
      <c r="C61" s="1" t="s">
        <v>58</v>
      </c>
      <c r="D61" s="1" t="s">
        <v>7</v>
      </c>
      <c r="E61" s="2">
        <v>304.4</v>
      </c>
      <c r="F61" s="2">
        <f>289.2-5</f>
        <v>284.2</v>
      </c>
      <c r="G61" s="2">
        <v>235.1</v>
      </c>
      <c r="H61" s="2">
        <f>386.4-5</f>
        <v>381.4</v>
      </c>
      <c r="I61" s="2">
        <f>235.1+237+20+200</f>
        <v>692.1</v>
      </c>
      <c r="J61" s="2">
        <v>235.1</v>
      </c>
      <c r="K61" s="2">
        <f t="shared" si="9"/>
        <v>235.1</v>
      </c>
      <c r="L61" s="33">
        <f t="shared" si="1"/>
        <v>2367.3999999999996</v>
      </c>
      <c r="O61" s="10"/>
    </row>
    <row r="62" spans="1:15" ht="69" customHeight="1">
      <c r="A62" s="50"/>
      <c r="B62" s="53"/>
      <c r="C62" s="1" t="s">
        <v>59</v>
      </c>
      <c r="D62" s="1" t="s">
        <v>7</v>
      </c>
      <c r="E62" s="2">
        <f>21429.4+61.4</f>
        <v>21490.800000000003</v>
      </c>
      <c r="F62" s="24">
        <f>13509.2+3910-400-480+865.347</f>
        <v>17404.547000000002</v>
      </c>
      <c r="G62" s="2">
        <f>26255.2-1000+61</f>
        <v>25316.2</v>
      </c>
      <c r="H62" s="14">
        <f>39300+422.77</f>
        <v>39722.77</v>
      </c>
      <c r="I62" s="2">
        <f>37535-100-100</f>
        <v>37335</v>
      </c>
      <c r="J62" s="2">
        <v>0</v>
      </c>
      <c r="K62" s="2">
        <f t="shared" si="9"/>
        <v>0</v>
      </c>
      <c r="L62" s="33">
        <f t="shared" si="1"/>
        <v>141269.317</v>
      </c>
      <c r="O62" s="10"/>
    </row>
    <row r="63" spans="1:15" ht="117.75" customHeight="1">
      <c r="A63" s="50"/>
      <c r="B63" s="53"/>
      <c r="C63" s="1" t="s">
        <v>76</v>
      </c>
      <c r="D63" s="1" t="s">
        <v>17</v>
      </c>
      <c r="E63" s="2">
        <f>10000.6+91.3</f>
        <v>10091.9</v>
      </c>
      <c r="F63" s="2">
        <f>10000.6+2372.3+62.4+76.9</f>
        <v>12512.2</v>
      </c>
      <c r="G63" s="2">
        <f>15180.1-307.4+625-4163.7+108</f>
        <v>11442</v>
      </c>
      <c r="H63" s="2">
        <f>12146.7+158.5+1731.7+91.1-295.5+62.5</f>
        <v>13895.000000000002</v>
      </c>
      <c r="I63" s="29">
        <f>14749.1-10298.75-227.85</f>
        <v>4222.5</v>
      </c>
      <c r="J63" s="29">
        <f>14749.1-10298.75-227.85</f>
        <v>4222.5</v>
      </c>
      <c r="K63" s="29">
        <f>14749.1-10298.75-227.85</f>
        <v>4222.5</v>
      </c>
      <c r="L63" s="33">
        <f t="shared" si="1"/>
        <v>60608.6</v>
      </c>
      <c r="O63" s="10"/>
    </row>
    <row r="64" spans="1:15" ht="54.75" customHeight="1">
      <c r="A64" s="50"/>
      <c r="B64" s="53"/>
      <c r="C64" s="50" t="s">
        <v>65</v>
      </c>
      <c r="D64" s="1" t="s">
        <v>17</v>
      </c>
      <c r="E64" s="2">
        <v>0</v>
      </c>
      <c r="F64" s="2">
        <v>1458.6</v>
      </c>
      <c r="G64" s="2">
        <v>0</v>
      </c>
      <c r="H64" s="2">
        <v>100</v>
      </c>
      <c r="I64" s="14">
        <v>91.07</v>
      </c>
      <c r="J64" s="2">
        <v>0</v>
      </c>
      <c r="K64" s="2">
        <f t="shared" si="9"/>
        <v>0</v>
      </c>
      <c r="L64" s="33">
        <f t="shared" si="1"/>
        <v>1649.6699999999998</v>
      </c>
      <c r="O64" s="10"/>
    </row>
    <row r="65" spans="1:15" ht="24.75" customHeight="1">
      <c r="A65" s="50"/>
      <c r="B65" s="53"/>
      <c r="C65" s="50"/>
      <c r="D65" s="1" t="s">
        <v>66</v>
      </c>
      <c r="E65" s="2">
        <v>0</v>
      </c>
      <c r="F65" s="2">
        <v>3403.3</v>
      </c>
      <c r="G65" s="2">
        <v>0</v>
      </c>
      <c r="H65" s="2">
        <v>1150</v>
      </c>
      <c r="I65" s="2">
        <v>1047.2</v>
      </c>
      <c r="J65" s="2">
        <v>0</v>
      </c>
      <c r="K65" s="2">
        <f t="shared" si="9"/>
        <v>0</v>
      </c>
      <c r="L65" s="33">
        <f t="shared" si="1"/>
        <v>5600.5</v>
      </c>
      <c r="O65" s="10"/>
    </row>
    <row r="66" spans="1:15" ht="51">
      <c r="A66" s="50"/>
      <c r="B66" s="53"/>
      <c r="C66" s="38" t="s">
        <v>74</v>
      </c>
      <c r="D66" s="1" t="s">
        <v>17</v>
      </c>
      <c r="E66" s="2">
        <v>0</v>
      </c>
      <c r="F66" s="2">
        <v>0</v>
      </c>
      <c r="G66" s="2">
        <v>0</v>
      </c>
      <c r="H66" s="2">
        <v>2000</v>
      </c>
      <c r="I66" s="2">
        <v>5000</v>
      </c>
      <c r="J66" s="2">
        <v>0</v>
      </c>
      <c r="K66" s="2">
        <v>0</v>
      </c>
      <c r="L66" s="33">
        <f t="shared" si="1"/>
        <v>7000</v>
      </c>
      <c r="O66" s="10"/>
    </row>
    <row r="67" spans="1:15" ht="25.5">
      <c r="A67" s="50"/>
      <c r="B67" s="53"/>
      <c r="C67" s="38" t="s">
        <v>75</v>
      </c>
      <c r="D67" s="1" t="s">
        <v>17</v>
      </c>
      <c r="E67" s="2"/>
      <c r="F67" s="2"/>
      <c r="G67" s="2"/>
      <c r="H67" s="2"/>
      <c r="I67" s="14">
        <f>10298.75+227.85</f>
        <v>10526.6</v>
      </c>
      <c r="J67" s="14">
        <f>10298.75+227.85</f>
        <v>10526.6</v>
      </c>
      <c r="K67" s="14">
        <f>10298.75+227.85</f>
        <v>10526.6</v>
      </c>
      <c r="L67" s="33"/>
      <c r="O67" s="10"/>
    </row>
    <row r="68" spans="1:15" ht="25.5">
      <c r="A68" s="50"/>
      <c r="B68" s="53"/>
      <c r="C68" s="47" t="s">
        <v>77</v>
      </c>
      <c r="D68" s="1" t="s">
        <v>7</v>
      </c>
      <c r="E68" s="2"/>
      <c r="F68" s="2"/>
      <c r="G68" s="2"/>
      <c r="H68" s="2"/>
      <c r="I68" s="29">
        <f>21000+4974.37733+122.5</f>
        <v>26096.87733</v>
      </c>
      <c r="J68" s="14"/>
      <c r="K68" s="14"/>
      <c r="L68" s="33"/>
      <c r="O68" s="10"/>
    </row>
    <row r="69" spans="1:15" ht="39.75" customHeight="1">
      <c r="A69" s="50"/>
      <c r="B69" s="53"/>
      <c r="C69" s="48"/>
      <c r="D69" s="1" t="s">
        <v>17</v>
      </c>
      <c r="E69" s="2"/>
      <c r="F69" s="2"/>
      <c r="G69" s="2"/>
      <c r="H69" s="2"/>
      <c r="I69" s="29">
        <f>39000+9465.62933</f>
        <v>48465.629329999996</v>
      </c>
      <c r="J69" s="14"/>
      <c r="K69" s="14"/>
      <c r="L69" s="33"/>
      <c r="O69" s="10"/>
    </row>
    <row r="70" spans="1:15" ht="63.75">
      <c r="A70" s="50"/>
      <c r="B70" s="53"/>
      <c r="C70" s="38" t="s">
        <v>78</v>
      </c>
      <c r="D70" s="1" t="s">
        <v>7</v>
      </c>
      <c r="E70" s="2"/>
      <c r="F70" s="2"/>
      <c r="G70" s="2"/>
      <c r="H70" s="2"/>
      <c r="I70" s="14">
        <v>24166.77</v>
      </c>
      <c r="J70" s="14"/>
      <c r="K70" s="14"/>
      <c r="L70" s="33"/>
      <c r="O70" s="10"/>
    </row>
    <row r="71" spans="1:15" ht="15" customHeight="1">
      <c r="A71" s="50"/>
      <c r="B71" s="53"/>
      <c r="C71" s="49" t="s">
        <v>47</v>
      </c>
      <c r="D71" s="49"/>
      <c r="E71" s="49"/>
      <c r="F71" s="49"/>
      <c r="G71" s="49"/>
      <c r="H71" s="49"/>
      <c r="I71" s="49"/>
      <c r="J71" s="49"/>
      <c r="K71" s="49"/>
      <c r="L71" s="33">
        <f t="shared" si="1"/>
        <v>0</v>
      </c>
      <c r="O71" s="10"/>
    </row>
    <row r="72" spans="1:15" ht="25.5">
      <c r="A72" s="50"/>
      <c r="B72" s="53"/>
      <c r="C72" s="51" t="s">
        <v>19</v>
      </c>
      <c r="D72" s="20" t="s">
        <v>7</v>
      </c>
      <c r="E72" s="17">
        <f>E75</f>
        <v>828.06</v>
      </c>
      <c r="F72" s="17">
        <f aca="true" t="shared" si="10" ref="E72:J73">F75</f>
        <v>837.4</v>
      </c>
      <c r="G72" s="17">
        <f t="shared" si="10"/>
        <v>827.4</v>
      </c>
      <c r="H72" s="17">
        <f t="shared" si="10"/>
        <v>0</v>
      </c>
      <c r="I72" s="17">
        <f t="shared" si="10"/>
        <v>0</v>
      </c>
      <c r="J72" s="17">
        <f t="shared" si="10"/>
        <v>0</v>
      </c>
      <c r="K72" s="17">
        <f>K75</f>
        <v>0</v>
      </c>
      <c r="L72" s="33">
        <f t="shared" si="1"/>
        <v>2492.86</v>
      </c>
      <c r="O72" s="10"/>
    </row>
    <row r="73" spans="1:15" ht="51">
      <c r="A73" s="50"/>
      <c r="B73" s="53"/>
      <c r="C73" s="51"/>
      <c r="D73" s="20" t="s">
        <v>8</v>
      </c>
      <c r="E73" s="17">
        <f t="shared" si="10"/>
        <v>7038.46</v>
      </c>
      <c r="F73" s="17">
        <f t="shared" si="10"/>
        <v>7537.3</v>
      </c>
      <c r="G73" s="17">
        <f t="shared" si="10"/>
        <v>8687.5</v>
      </c>
      <c r="H73" s="17">
        <f t="shared" si="10"/>
        <v>0</v>
      </c>
      <c r="I73" s="17">
        <f t="shared" si="10"/>
        <v>0</v>
      </c>
      <c r="J73" s="17">
        <f t="shared" si="10"/>
        <v>0</v>
      </c>
      <c r="K73" s="17">
        <f>K76</f>
        <v>0</v>
      </c>
      <c r="L73" s="33">
        <f t="shared" si="1"/>
        <v>23263.260000000002</v>
      </c>
      <c r="O73" s="10"/>
    </row>
    <row r="74" spans="1:15" ht="15">
      <c r="A74" s="50"/>
      <c r="B74" s="53"/>
      <c r="C74" s="50" t="s">
        <v>33</v>
      </c>
      <c r="D74" s="50"/>
      <c r="E74" s="50"/>
      <c r="F74" s="50"/>
      <c r="G74" s="50"/>
      <c r="H74" s="50"/>
      <c r="I74" s="50"/>
      <c r="J74" s="50"/>
      <c r="K74" s="50"/>
      <c r="L74" s="33">
        <f t="shared" si="1"/>
        <v>0</v>
      </c>
      <c r="O74" s="10"/>
    </row>
    <row r="75" spans="1:15" ht="20.25" customHeight="1">
      <c r="A75" s="50"/>
      <c r="B75" s="53"/>
      <c r="C75" s="50" t="s">
        <v>52</v>
      </c>
      <c r="D75" s="1" t="s">
        <v>7</v>
      </c>
      <c r="E75" s="14">
        <v>828.06</v>
      </c>
      <c r="F75" s="14">
        <f>828.06+9.34</f>
        <v>837.4</v>
      </c>
      <c r="G75" s="2">
        <f>837.4-10</f>
        <v>827.4</v>
      </c>
      <c r="H75" s="2">
        <v>0</v>
      </c>
      <c r="I75" s="2">
        <v>0</v>
      </c>
      <c r="J75" s="2">
        <v>0</v>
      </c>
      <c r="K75" s="2">
        <f>J75</f>
        <v>0</v>
      </c>
      <c r="L75" s="33">
        <f t="shared" si="1"/>
        <v>2492.86</v>
      </c>
      <c r="O75" s="10"/>
    </row>
    <row r="76" spans="1:15" ht="25.5">
      <c r="A76" s="50"/>
      <c r="B76" s="53"/>
      <c r="C76" s="50"/>
      <c r="D76" s="1" t="s">
        <v>17</v>
      </c>
      <c r="E76" s="14">
        <v>7038.46</v>
      </c>
      <c r="F76" s="14">
        <v>7537.3</v>
      </c>
      <c r="G76" s="2">
        <v>8687.5</v>
      </c>
      <c r="H76" s="2">
        <v>0</v>
      </c>
      <c r="I76" s="2">
        <v>0</v>
      </c>
      <c r="J76" s="2">
        <v>0</v>
      </c>
      <c r="K76" s="2">
        <f>J76</f>
        <v>0</v>
      </c>
      <c r="L76" s="33">
        <f t="shared" si="1"/>
        <v>23263.260000000002</v>
      </c>
      <c r="O76" s="10"/>
    </row>
    <row r="77" spans="1:15" ht="15" customHeight="1">
      <c r="A77" s="50"/>
      <c r="B77" s="53"/>
      <c r="C77" s="49" t="s">
        <v>49</v>
      </c>
      <c r="D77" s="49"/>
      <c r="E77" s="49"/>
      <c r="F77" s="49"/>
      <c r="G77" s="49"/>
      <c r="H77" s="49"/>
      <c r="I77" s="49"/>
      <c r="J77" s="49"/>
      <c r="K77" s="49"/>
      <c r="L77" s="33">
        <f t="shared" si="1"/>
        <v>0</v>
      </c>
      <c r="O77" s="10"/>
    </row>
    <row r="78" spans="1:15" ht="15">
      <c r="A78" s="50"/>
      <c r="B78" s="53"/>
      <c r="C78" s="51" t="s">
        <v>19</v>
      </c>
      <c r="D78" s="20" t="s">
        <v>7</v>
      </c>
      <c r="E78" s="17">
        <f aca="true" t="shared" si="11" ref="E78:J79">E81</f>
        <v>616.72</v>
      </c>
      <c r="F78" s="17">
        <f t="shared" si="11"/>
        <v>611.6</v>
      </c>
      <c r="G78" s="17">
        <f>G81</f>
        <v>587.4</v>
      </c>
      <c r="H78" s="17">
        <f t="shared" si="11"/>
        <v>0</v>
      </c>
      <c r="I78" s="17">
        <f t="shared" si="11"/>
        <v>0</v>
      </c>
      <c r="J78" s="17">
        <f t="shared" si="11"/>
        <v>0</v>
      </c>
      <c r="K78" s="17">
        <f>K81</f>
        <v>0</v>
      </c>
      <c r="L78" s="33">
        <f t="shared" si="1"/>
        <v>1815.7200000000003</v>
      </c>
      <c r="O78" s="10"/>
    </row>
    <row r="79" spans="1:15" ht="38.25">
      <c r="A79" s="50"/>
      <c r="B79" s="53"/>
      <c r="C79" s="51"/>
      <c r="D79" s="20" t="s">
        <v>8</v>
      </c>
      <c r="E79" s="17">
        <f t="shared" si="11"/>
        <v>5242.12</v>
      </c>
      <c r="F79" s="17">
        <f t="shared" si="11"/>
        <v>5503.9</v>
      </c>
      <c r="G79" s="17">
        <f t="shared" si="11"/>
        <v>6167</v>
      </c>
      <c r="H79" s="17">
        <f t="shared" si="11"/>
        <v>0</v>
      </c>
      <c r="I79" s="17">
        <f t="shared" si="11"/>
        <v>0</v>
      </c>
      <c r="J79" s="17">
        <f t="shared" si="11"/>
        <v>0</v>
      </c>
      <c r="K79" s="17">
        <f>K82</f>
        <v>0</v>
      </c>
      <c r="L79" s="33">
        <f t="shared" si="1"/>
        <v>16913.02</v>
      </c>
      <c r="O79" s="10"/>
    </row>
    <row r="80" spans="1:15" ht="15">
      <c r="A80" s="50"/>
      <c r="B80" s="53"/>
      <c r="C80" s="50" t="s">
        <v>33</v>
      </c>
      <c r="D80" s="50"/>
      <c r="E80" s="50"/>
      <c r="F80" s="50"/>
      <c r="G80" s="50"/>
      <c r="H80" s="50"/>
      <c r="I80" s="50"/>
      <c r="J80" s="50"/>
      <c r="K80" s="50"/>
      <c r="L80" s="33">
        <f t="shared" si="1"/>
        <v>0</v>
      </c>
      <c r="O80" s="10"/>
    </row>
    <row r="81" spans="1:15" ht="15">
      <c r="A81" s="50"/>
      <c r="B81" s="53"/>
      <c r="C81" s="50" t="s">
        <v>52</v>
      </c>
      <c r="D81" s="1" t="s">
        <v>7</v>
      </c>
      <c r="E81" s="14">
        <v>616.72</v>
      </c>
      <c r="F81" s="14">
        <f>616.72-5.12</f>
        <v>611.6</v>
      </c>
      <c r="G81" s="2">
        <f>611.6-24.2</f>
        <v>587.4</v>
      </c>
      <c r="H81" s="2">
        <v>0</v>
      </c>
      <c r="I81" s="2">
        <v>0</v>
      </c>
      <c r="J81" s="2">
        <v>0</v>
      </c>
      <c r="K81" s="2">
        <f>J81</f>
        <v>0</v>
      </c>
      <c r="L81" s="33">
        <f t="shared" si="1"/>
        <v>1815.7200000000003</v>
      </c>
      <c r="O81" s="10"/>
    </row>
    <row r="82" spans="1:15" ht="25.5">
      <c r="A82" s="50"/>
      <c r="B82" s="53"/>
      <c r="C82" s="50"/>
      <c r="D82" s="1" t="s">
        <v>17</v>
      </c>
      <c r="E82" s="14">
        <v>5242.12</v>
      </c>
      <c r="F82" s="14">
        <v>5503.9</v>
      </c>
      <c r="G82" s="2">
        <v>6167</v>
      </c>
      <c r="H82" s="2">
        <v>0</v>
      </c>
      <c r="I82" s="2">
        <v>0</v>
      </c>
      <c r="J82" s="2">
        <v>0</v>
      </c>
      <c r="K82" s="2">
        <f>J82</f>
        <v>0</v>
      </c>
      <c r="L82" s="33">
        <f t="shared" si="1"/>
        <v>16913.02</v>
      </c>
      <c r="O82" s="10"/>
    </row>
    <row r="83" spans="1:15" ht="15" customHeight="1">
      <c r="A83" s="50"/>
      <c r="B83" s="53"/>
      <c r="C83" s="49" t="s">
        <v>50</v>
      </c>
      <c r="D83" s="49"/>
      <c r="E83" s="49"/>
      <c r="F83" s="49"/>
      <c r="G83" s="49"/>
      <c r="H83" s="49"/>
      <c r="I83" s="49"/>
      <c r="J83" s="49"/>
      <c r="K83" s="49"/>
      <c r="L83" s="33">
        <f t="shared" si="1"/>
        <v>0</v>
      </c>
      <c r="O83" s="10"/>
    </row>
    <row r="84" spans="1:15" ht="15">
      <c r="A84" s="50"/>
      <c r="B84" s="53"/>
      <c r="C84" s="51" t="s">
        <v>19</v>
      </c>
      <c r="D84" s="20" t="s">
        <v>7</v>
      </c>
      <c r="E84" s="17">
        <f aca="true" t="shared" si="12" ref="E84:J85">E86</f>
        <v>1292.72</v>
      </c>
      <c r="F84" s="17">
        <f t="shared" si="12"/>
        <v>1297.7</v>
      </c>
      <c r="G84" s="17">
        <f t="shared" si="12"/>
        <v>1273.5</v>
      </c>
      <c r="H84" s="17">
        <f t="shared" si="12"/>
        <v>0</v>
      </c>
      <c r="I84" s="17">
        <f t="shared" si="12"/>
        <v>0</v>
      </c>
      <c r="J84" s="17">
        <f t="shared" si="12"/>
        <v>0</v>
      </c>
      <c r="K84" s="17">
        <f>K86</f>
        <v>0</v>
      </c>
      <c r="L84" s="33">
        <f t="shared" si="1"/>
        <v>3863.92</v>
      </c>
      <c r="O84" s="10"/>
    </row>
    <row r="85" spans="1:15" ht="38.25">
      <c r="A85" s="50"/>
      <c r="B85" s="53"/>
      <c r="C85" s="51"/>
      <c r="D85" s="20" t="s">
        <v>8</v>
      </c>
      <c r="E85" s="17">
        <f t="shared" si="12"/>
        <v>10988.12</v>
      </c>
      <c r="F85" s="17">
        <f t="shared" si="12"/>
        <v>11679.3</v>
      </c>
      <c r="G85" s="17">
        <f t="shared" si="12"/>
        <v>13371.4</v>
      </c>
      <c r="H85" s="17">
        <f t="shared" si="12"/>
        <v>0</v>
      </c>
      <c r="I85" s="17">
        <f t="shared" si="12"/>
        <v>0</v>
      </c>
      <c r="J85" s="17">
        <f t="shared" si="12"/>
        <v>0</v>
      </c>
      <c r="K85" s="17">
        <f>K87</f>
        <v>0</v>
      </c>
      <c r="L85" s="33">
        <f t="shared" si="1"/>
        <v>36038.82</v>
      </c>
      <c r="O85" s="10"/>
    </row>
    <row r="86" spans="1:15" ht="15">
      <c r="A86" s="50"/>
      <c r="B86" s="53"/>
      <c r="C86" s="50" t="s">
        <v>52</v>
      </c>
      <c r="D86" s="1" t="s">
        <v>7</v>
      </c>
      <c r="E86" s="14">
        <v>1292.72</v>
      </c>
      <c r="F86" s="14">
        <f>1292.72+4.98</f>
        <v>1297.7</v>
      </c>
      <c r="G86" s="2">
        <f>1297.7-24.2</f>
        <v>1273.5</v>
      </c>
      <c r="H86" s="2">
        <v>0</v>
      </c>
      <c r="I86" s="2">
        <v>0</v>
      </c>
      <c r="J86" s="2">
        <v>0</v>
      </c>
      <c r="K86" s="2">
        <f>J86</f>
        <v>0</v>
      </c>
      <c r="L86" s="33">
        <f t="shared" si="1"/>
        <v>3863.92</v>
      </c>
      <c r="O86" s="10"/>
    </row>
    <row r="87" spans="1:15" ht="25.5">
      <c r="A87" s="50"/>
      <c r="B87" s="53"/>
      <c r="C87" s="50"/>
      <c r="D87" s="1" t="s">
        <v>17</v>
      </c>
      <c r="E87" s="14">
        <v>10988.12</v>
      </c>
      <c r="F87" s="14">
        <v>11679.3</v>
      </c>
      <c r="G87" s="2">
        <v>13371.4</v>
      </c>
      <c r="H87" s="2">
        <v>0</v>
      </c>
      <c r="I87" s="2">
        <v>0</v>
      </c>
      <c r="J87" s="2">
        <v>0</v>
      </c>
      <c r="K87" s="2">
        <f>J87</f>
        <v>0</v>
      </c>
      <c r="L87" s="33">
        <f t="shared" si="1"/>
        <v>36038.82</v>
      </c>
      <c r="O87" s="10"/>
    </row>
    <row r="88" spans="1:15" ht="15" customHeight="1">
      <c r="A88" s="50"/>
      <c r="B88" s="53"/>
      <c r="C88" s="49" t="s">
        <v>51</v>
      </c>
      <c r="D88" s="49"/>
      <c r="E88" s="49"/>
      <c r="F88" s="49"/>
      <c r="G88" s="49"/>
      <c r="H88" s="49"/>
      <c r="I88" s="49"/>
      <c r="J88" s="49"/>
      <c r="K88" s="49"/>
      <c r="L88" s="33">
        <f t="shared" si="1"/>
        <v>0</v>
      </c>
      <c r="O88" s="10"/>
    </row>
    <row r="89" spans="1:15" ht="15">
      <c r="A89" s="50"/>
      <c r="B89" s="53"/>
      <c r="C89" s="51" t="s">
        <v>19</v>
      </c>
      <c r="D89" s="20" t="s">
        <v>7</v>
      </c>
      <c r="E89" s="17">
        <f aca="true" t="shared" si="13" ref="E89:J90">E92</f>
        <v>936</v>
      </c>
      <c r="F89" s="17">
        <f t="shared" si="13"/>
        <v>940.1</v>
      </c>
      <c r="G89" s="17">
        <f t="shared" si="13"/>
        <v>939.6</v>
      </c>
      <c r="H89" s="17">
        <f t="shared" si="13"/>
        <v>0</v>
      </c>
      <c r="I89" s="17">
        <f t="shared" si="13"/>
        <v>0</v>
      </c>
      <c r="J89" s="17">
        <f t="shared" si="13"/>
        <v>0</v>
      </c>
      <c r="K89" s="17">
        <f>K92</f>
        <v>0</v>
      </c>
      <c r="L89" s="33">
        <f t="shared" si="1"/>
        <v>2815.7</v>
      </c>
      <c r="O89" s="10"/>
    </row>
    <row r="90" spans="1:15" ht="38.25">
      <c r="A90" s="50"/>
      <c r="B90" s="53"/>
      <c r="C90" s="51"/>
      <c r="D90" s="20" t="s">
        <v>8</v>
      </c>
      <c r="E90" s="17">
        <f t="shared" si="13"/>
        <v>7956</v>
      </c>
      <c r="F90" s="17">
        <f t="shared" si="13"/>
        <v>8460.7</v>
      </c>
      <c r="G90" s="17">
        <f t="shared" si="13"/>
        <v>9867.2</v>
      </c>
      <c r="H90" s="17">
        <f t="shared" si="13"/>
        <v>0</v>
      </c>
      <c r="I90" s="17">
        <f t="shared" si="13"/>
        <v>0</v>
      </c>
      <c r="J90" s="17">
        <f t="shared" si="13"/>
        <v>0</v>
      </c>
      <c r="K90" s="17">
        <f>K93</f>
        <v>0</v>
      </c>
      <c r="L90" s="33">
        <f aca="true" t="shared" si="14" ref="L90:L115">E90+F90+G90+H90+I90+J90+K90</f>
        <v>26283.9</v>
      </c>
      <c r="O90" s="10"/>
    </row>
    <row r="91" spans="1:15" ht="15">
      <c r="A91" s="50"/>
      <c r="B91" s="53"/>
      <c r="C91" s="50" t="s">
        <v>33</v>
      </c>
      <c r="D91" s="50"/>
      <c r="E91" s="50"/>
      <c r="F91" s="50"/>
      <c r="G91" s="50"/>
      <c r="H91" s="50"/>
      <c r="I91" s="50"/>
      <c r="J91" s="50"/>
      <c r="K91" s="50"/>
      <c r="L91" s="33">
        <f t="shared" si="14"/>
        <v>0</v>
      </c>
      <c r="O91" s="10"/>
    </row>
    <row r="92" spans="1:15" ht="15">
      <c r="A92" s="50"/>
      <c r="B92" s="53"/>
      <c r="C92" s="50" t="s">
        <v>52</v>
      </c>
      <c r="D92" s="1" t="s">
        <v>7</v>
      </c>
      <c r="E92" s="14">
        <v>936</v>
      </c>
      <c r="F92" s="2">
        <f>936+4.1</f>
        <v>940.1</v>
      </c>
      <c r="G92" s="2">
        <f>940.1-0.5</f>
        <v>939.6</v>
      </c>
      <c r="H92" s="2">
        <v>0</v>
      </c>
      <c r="I92" s="2">
        <v>0</v>
      </c>
      <c r="J92" s="2">
        <v>0</v>
      </c>
      <c r="K92" s="2">
        <f>J92</f>
        <v>0</v>
      </c>
      <c r="L92" s="33">
        <f t="shared" si="14"/>
        <v>2815.7</v>
      </c>
      <c r="O92" s="10"/>
    </row>
    <row r="93" spans="1:15" ht="25.5">
      <c r="A93" s="50"/>
      <c r="B93" s="53"/>
      <c r="C93" s="50"/>
      <c r="D93" s="1" t="s">
        <v>17</v>
      </c>
      <c r="E93" s="14">
        <v>7956</v>
      </c>
      <c r="F93" s="2">
        <v>8460.7</v>
      </c>
      <c r="G93" s="2">
        <v>9867.2</v>
      </c>
      <c r="H93" s="2">
        <v>0</v>
      </c>
      <c r="I93" s="2">
        <v>0</v>
      </c>
      <c r="J93" s="2">
        <v>0</v>
      </c>
      <c r="K93" s="2">
        <f>J93</f>
        <v>0</v>
      </c>
      <c r="L93" s="33">
        <f t="shared" si="14"/>
        <v>26283.9</v>
      </c>
      <c r="O93" s="10"/>
    </row>
    <row r="94" spans="1:15" ht="15" customHeight="1">
      <c r="A94" s="50"/>
      <c r="B94" s="53"/>
      <c r="C94" s="49" t="s">
        <v>68</v>
      </c>
      <c r="D94" s="49"/>
      <c r="E94" s="49"/>
      <c r="F94" s="49"/>
      <c r="G94" s="49"/>
      <c r="H94" s="49"/>
      <c r="I94" s="49"/>
      <c r="J94" s="49"/>
      <c r="K94" s="49"/>
      <c r="L94" s="33">
        <f t="shared" si="14"/>
        <v>0</v>
      </c>
      <c r="O94" s="10"/>
    </row>
    <row r="95" spans="1:15" ht="15">
      <c r="A95" s="50"/>
      <c r="B95" s="53"/>
      <c r="C95" s="51" t="s">
        <v>19</v>
      </c>
      <c r="D95" s="20" t="s">
        <v>7</v>
      </c>
      <c r="E95" s="17">
        <f aca="true" t="shared" si="15" ref="E95:J95">E98</f>
        <v>0</v>
      </c>
      <c r="F95" s="17">
        <f t="shared" si="15"/>
        <v>175</v>
      </c>
      <c r="G95" s="17">
        <f t="shared" si="15"/>
        <v>212.8</v>
      </c>
      <c r="H95" s="17">
        <f t="shared" si="15"/>
        <v>109.8</v>
      </c>
      <c r="I95" s="17">
        <f t="shared" si="15"/>
        <v>10</v>
      </c>
      <c r="J95" s="17">
        <f t="shared" si="15"/>
        <v>10</v>
      </c>
      <c r="K95" s="17">
        <f>K98</f>
        <v>10</v>
      </c>
      <c r="L95" s="33">
        <f t="shared" si="14"/>
        <v>527.6</v>
      </c>
      <c r="O95" s="10"/>
    </row>
    <row r="96" spans="1:15" ht="38.25">
      <c r="A96" s="50"/>
      <c r="B96" s="53"/>
      <c r="C96" s="51"/>
      <c r="D96" s="20" t="s">
        <v>8</v>
      </c>
      <c r="E96" s="17">
        <f aca="true" t="shared" si="16" ref="E96:J96">E99</f>
        <v>0</v>
      </c>
      <c r="F96" s="17">
        <f t="shared" si="16"/>
        <v>0</v>
      </c>
      <c r="G96" s="17">
        <f t="shared" si="16"/>
        <v>0</v>
      </c>
      <c r="H96" s="17">
        <f t="shared" si="16"/>
        <v>33057.6</v>
      </c>
      <c r="I96" s="17">
        <f>I99</f>
        <v>37642.2</v>
      </c>
      <c r="J96" s="17">
        <f t="shared" si="16"/>
        <v>33103.04</v>
      </c>
      <c r="K96" s="17">
        <f>K99</f>
        <v>33103.04</v>
      </c>
      <c r="L96" s="33">
        <f t="shared" si="14"/>
        <v>136905.88</v>
      </c>
      <c r="O96" s="10"/>
    </row>
    <row r="97" spans="1:15" ht="15">
      <c r="A97" s="50"/>
      <c r="B97" s="53"/>
      <c r="C97" s="50" t="s">
        <v>33</v>
      </c>
      <c r="D97" s="50"/>
      <c r="E97" s="50"/>
      <c r="F97" s="50"/>
      <c r="G97" s="50"/>
      <c r="H97" s="50"/>
      <c r="I97" s="50"/>
      <c r="J97" s="50"/>
      <c r="K97" s="50"/>
      <c r="L97" s="33">
        <f t="shared" si="14"/>
        <v>0</v>
      </c>
      <c r="O97" s="10"/>
    </row>
    <row r="98" spans="1:15" ht="18.75" customHeight="1">
      <c r="A98" s="50"/>
      <c r="B98" s="53"/>
      <c r="C98" s="50" t="s">
        <v>52</v>
      </c>
      <c r="D98" s="1" t="s">
        <v>7</v>
      </c>
      <c r="E98" s="14">
        <v>0</v>
      </c>
      <c r="F98" s="2">
        <f>195-20</f>
        <v>175</v>
      </c>
      <c r="G98" s="2">
        <f>44+70+98.8</f>
        <v>212.8</v>
      </c>
      <c r="H98" s="2">
        <v>109.8</v>
      </c>
      <c r="I98" s="2">
        <v>10</v>
      </c>
      <c r="J98" s="2">
        <v>10</v>
      </c>
      <c r="K98" s="2">
        <v>10</v>
      </c>
      <c r="L98" s="33">
        <f t="shared" si="14"/>
        <v>527.6</v>
      </c>
      <c r="O98" s="10"/>
    </row>
    <row r="99" spans="1:15" ht="25.5">
      <c r="A99" s="50"/>
      <c r="B99" s="53"/>
      <c r="C99" s="50"/>
      <c r="D99" s="1" t="s">
        <v>17</v>
      </c>
      <c r="E99" s="14"/>
      <c r="F99" s="2"/>
      <c r="G99" s="2"/>
      <c r="H99" s="14">
        <f>55255.04-22152-45.44</f>
        <v>33057.6</v>
      </c>
      <c r="I99" s="14">
        <f>35299.2+2394.6-51.6</f>
        <v>37642.2</v>
      </c>
      <c r="J99" s="14">
        <v>33103.04</v>
      </c>
      <c r="K99" s="14">
        <v>33103.04</v>
      </c>
      <c r="L99" s="33">
        <f t="shared" si="14"/>
        <v>136905.88</v>
      </c>
      <c r="O99" s="10"/>
    </row>
    <row r="100" spans="1:15" ht="30" customHeight="1">
      <c r="A100" s="53">
        <v>2</v>
      </c>
      <c r="B100" s="50" t="s">
        <v>34</v>
      </c>
      <c r="C100" s="51" t="s">
        <v>35</v>
      </c>
      <c r="D100" s="20" t="s">
        <v>36</v>
      </c>
      <c r="E100" s="15">
        <f aca="true" t="shared" si="17" ref="E100:K100">E105+E106</f>
        <v>41613.8</v>
      </c>
      <c r="F100" s="15">
        <f>F105+F106</f>
        <v>39956.19999999999</v>
      </c>
      <c r="G100" s="15">
        <f t="shared" si="17"/>
        <v>44115.49999999999</v>
      </c>
      <c r="H100" s="30">
        <f t="shared" si="17"/>
        <v>43821.03351</v>
      </c>
      <c r="I100" s="15">
        <f t="shared" si="17"/>
        <v>43999.899999999994</v>
      </c>
      <c r="J100" s="15">
        <f t="shared" si="17"/>
        <v>45431.299999999996</v>
      </c>
      <c r="K100" s="15">
        <f t="shared" si="17"/>
        <v>47030.5</v>
      </c>
      <c r="L100" s="33">
        <f t="shared" si="14"/>
        <v>305968.23351</v>
      </c>
      <c r="O100" s="10"/>
    </row>
    <row r="101" spans="1:15" ht="15">
      <c r="A101" s="53"/>
      <c r="B101" s="50"/>
      <c r="C101" s="51"/>
      <c r="D101" s="50" t="s">
        <v>32</v>
      </c>
      <c r="E101" s="50"/>
      <c r="F101" s="50"/>
      <c r="G101" s="50"/>
      <c r="H101" s="50"/>
      <c r="I101" s="50"/>
      <c r="J101" s="50"/>
      <c r="K101" s="50"/>
      <c r="L101" s="33">
        <f t="shared" si="14"/>
        <v>0</v>
      </c>
      <c r="O101" s="10"/>
    </row>
    <row r="102" spans="1:15" ht="15">
      <c r="A102" s="53"/>
      <c r="B102" s="50"/>
      <c r="C102" s="51"/>
      <c r="D102" s="20" t="s">
        <v>7</v>
      </c>
      <c r="E102" s="16">
        <f aca="true" t="shared" si="18" ref="E102:J103">E105</f>
        <v>36212.100000000006</v>
      </c>
      <c r="F102" s="16">
        <f t="shared" si="18"/>
        <v>34748.09999999999</v>
      </c>
      <c r="G102" s="16">
        <f t="shared" si="18"/>
        <v>36586.99999999999</v>
      </c>
      <c r="H102" s="31">
        <f t="shared" si="18"/>
        <v>35162.333510000004</v>
      </c>
      <c r="I102" s="16">
        <f t="shared" si="18"/>
        <v>34878.299999999996</v>
      </c>
      <c r="J102" s="16">
        <f t="shared" si="18"/>
        <v>35958.1</v>
      </c>
      <c r="K102" s="16">
        <f>K105</f>
        <v>37223.4</v>
      </c>
      <c r="L102" s="33">
        <f t="shared" si="14"/>
        <v>250769.33350999997</v>
      </c>
      <c r="O102" s="10"/>
    </row>
    <row r="103" spans="1:15" ht="38.25">
      <c r="A103" s="53"/>
      <c r="B103" s="50"/>
      <c r="C103" s="51"/>
      <c r="D103" s="20" t="s">
        <v>8</v>
      </c>
      <c r="E103" s="16">
        <f>E106</f>
        <v>5401.7</v>
      </c>
      <c r="F103" s="16">
        <f>F106</f>
        <v>5208.099999999999</v>
      </c>
      <c r="G103" s="16">
        <f t="shared" si="18"/>
        <v>7528.5</v>
      </c>
      <c r="H103" s="16">
        <f t="shared" si="18"/>
        <v>8658.699999999999</v>
      </c>
      <c r="I103" s="16">
        <f t="shared" si="18"/>
        <v>9121.6</v>
      </c>
      <c r="J103" s="16">
        <f t="shared" si="18"/>
        <v>9473.199999999999</v>
      </c>
      <c r="K103" s="16">
        <f>K106</f>
        <v>9807.1</v>
      </c>
      <c r="L103" s="33">
        <f t="shared" si="14"/>
        <v>55198.899999999994</v>
      </c>
      <c r="O103" s="10"/>
    </row>
    <row r="104" spans="1:15" ht="15">
      <c r="A104" s="53"/>
      <c r="B104" s="50"/>
      <c r="C104" s="49" t="s">
        <v>14</v>
      </c>
      <c r="D104" s="49"/>
      <c r="E104" s="49"/>
      <c r="F104" s="49"/>
      <c r="G104" s="49"/>
      <c r="H104" s="49"/>
      <c r="I104" s="49"/>
      <c r="J104" s="49"/>
      <c r="K104" s="49"/>
      <c r="L104" s="33">
        <f t="shared" si="14"/>
        <v>0</v>
      </c>
      <c r="O104" s="10"/>
    </row>
    <row r="105" spans="1:15" ht="15">
      <c r="A105" s="53"/>
      <c r="B105" s="50"/>
      <c r="C105" s="51" t="s">
        <v>19</v>
      </c>
      <c r="D105" s="20" t="s">
        <v>7</v>
      </c>
      <c r="E105" s="15">
        <f aca="true" t="shared" si="19" ref="E105:J105">E108</f>
        <v>36212.100000000006</v>
      </c>
      <c r="F105" s="15">
        <f>F108</f>
        <v>34748.09999999999</v>
      </c>
      <c r="G105" s="15">
        <f t="shared" si="19"/>
        <v>36586.99999999999</v>
      </c>
      <c r="H105" s="30">
        <f t="shared" si="19"/>
        <v>35162.333510000004</v>
      </c>
      <c r="I105" s="15">
        <f t="shared" si="19"/>
        <v>34878.299999999996</v>
      </c>
      <c r="J105" s="15">
        <f t="shared" si="19"/>
        <v>35958.1</v>
      </c>
      <c r="K105" s="15">
        <f>K108</f>
        <v>37223.4</v>
      </c>
      <c r="L105" s="33">
        <f t="shared" si="14"/>
        <v>250769.33350999997</v>
      </c>
      <c r="O105" s="10"/>
    </row>
    <row r="106" spans="1:15" ht="38.25">
      <c r="A106" s="53"/>
      <c r="B106" s="50"/>
      <c r="C106" s="51"/>
      <c r="D106" s="20" t="s">
        <v>8</v>
      </c>
      <c r="E106" s="15">
        <f aca="true" t="shared" si="20" ref="E106:J106">E109+E111+E112+E113+E114+E110+E115</f>
        <v>5401.7</v>
      </c>
      <c r="F106" s="15">
        <f t="shared" si="20"/>
        <v>5208.099999999999</v>
      </c>
      <c r="G106" s="15">
        <f t="shared" si="20"/>
        <v>7528.5</v>
      </c>
      <c r="H106" s="15">
        <f t="shared" si="20"/>
        <v>8658.699999999999</v>
      </c>
      <c r="I106" s="15">
        <f t="shared" si="20"/>
        <v>9121.6</v>
      </c>
      <c r="J106" s="15">
        <f t="shared" si="20"/>
        <v>9473.199999999999</v>
      </c>
      <c r="K106" s="15">
        <f>K109+K111+K112+K113+K114+K110+K115</f>
        <v>9807.1</v>
      </c>
      <c r="L106" s="33">
        <f t="shared" si="14"/>
        <v>55198.899999999994</v>
      </c>
      <c r="O106" s="10"/>
    </row>
    <row r="107" spans="1:15" ht="15">
      <c r="A107" s="53"/>
      <c r="B107" s="50"/>
      <c r="C107" s="50" t="s">
        <v>33</v>
      </c>
      <c r="D107" s="50"/>
      <c r="E107" s="50"/>
      <c r="F107" s="50"/>
      <c r="G107" s="50"/>
      <c r="H107" s="50"/>
      <c r="I107" s="50"/>
      <c r="J107" s="50"/>
      <c r="K107" s="50"/>
      <c r="L107" s="33">
        <f t="shared" si="14"/>
        <v>0</v>
      </c>
      <c r="O107" s="10"/>
    </row>
    <row r="108" spans="1:15" ht="29.25" customHeight="1">
      <c r="A108" s="53"/>
      <c r="B108" s="50"/>
      <c r="C108" s="1" t="s">
        <v>42</v>
      </c>
      <c r="D108" s="1" t="s">
        <v>7</v>
      </c>
      <c r="E108" s="2">
        <f>38165.4-137.1-428.7-443.1-529.9-234.5-180</f>
        <v>36212.100000000006</v>
      </c>
      <c r="F108" s="2">
        <f>36609.3-554.8-326.9-727.9-33.4-26.3-18.2-23.9-4.9-5.4-195.4+55.9</f>
        <v>34748.09999999999</v>
      </c>
      <c r="G108" s="2">
        <f>33158.6+3742.7-124.8-185.7-3.8</f>
        <v>36586.99999999999</v>
      </c>
      <c r="H108" s="29">
        <f>35257.2-117.1+256.43351-58.2-36.5-115-24.5</f>
        <v>35162.333510000004</v>
      </c>
      <c r="I108" s="2">
        <f>34639.2+250+33.7-44.6</f>
        <v>34878.299999999996</v>
      </c>
      <c r="J108" s="2">
        <v>35958.1</v>
      </c>
      <c r="K108" s="2">
        <v>37223.4</v>
      </c>
      <c r="L108" s="33">
        <f t="shared" si="14"/>
        <v>250769.33350999997</v>
      </c>
      <c r="O108" s="10"/>
    </row>
    <row r="109" spans="1:15" ht="53.25" customHeight="1">
      <c r="A109" s="53"/>
      <c r="B109" s="50"/>
      <c r="C109" s="1" t="s">
        <v>25</v>
      </c>
      <c r="D109" s="1" t="s">
        <v>17</v>
      </c>
      <c r="E109" s="2">
        <f>2415.6-20</f>
        <v>2395.6</v>
      </c>
      <c r="F109" s="2">
        <f>2415.6-29.3</f>
        <v>2386.2999999999997</v>
      </c>
      <c r="G109" s="2">
        <f>4831.4-86.8</f>
        <v>4744.599999999999</v>
      </c>
      <c r="H109" s="2">
        <f>5010.2-23</f>
        <v>4987.2</v>
      </c>
      <c r="I109" s="2">
        <v>5062</v>
      </c>
      <c r="J109" s="2">
        <v>5258.3</v>
      </c>
      <c r="K109" s="2">
        <v>5447.1</v>
      </c>
      <c r="L109" s="33">
        <f t="shared" si="14"/>
        <v>30281.1</v>
      </c>
      <c r="O109" s="10"/>
    </row>
    <row r="110" spans="1:15" ht="91.5" customHeight="1">
      <c r="A110" s="53"/>
      <c r="B110" s="50"/>
      <c r="C110" s="1" t="s">
        <v>64</v>
      </c>
      <c r="D110" s="1" t="s">
        <v>17</v>
      </c>
      <c r="E110" s="2">
        <v>433.3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f>J110</f>
        <v>0</v>
      </c>
      <c r="L110" s="33">
        <f t="shared" si="14"/>
        <v>433.3</v>
      </c>
      <c r="O110" s="10"/>
    </row>
    <row r="111" spans="1:15" ht="117" customHeight="1">
      <c r="A111" s="53"/>
      <c r="B111" s="50"/>
      <c r="C111" s="1" t="s">
        <v>61</v>
      </c>
      <c r="D111" s="1" t="s">
        <v>17</v>
      </c>
      <c r="E111" s="2">
        <v>0</v>
      </c>
      <c r="F111" s="2">
        <f>234.8+0.6+1.2</f>
        <v>236.6</v>
      </c>
      <c r="G111" s="2">
        <f>240.4+1.7+0.9+2</f>
        <v>245</v>
      </c>
      <c r="H111" s="2">
        <f>268.4+2.6+1+4.2</f>
        <v>276.2</v>
      </c>
      <c r="I111" s="2">
        <f>286.9+0.1+0.1</f>
        <v>287.1</v>
      </c>
      <c r="J111" s="2">
        <v>305.9</v>
      </c>
      <c r="K111" s="2">
        <v>326</v>
      </c>
      <c r="L111" s="33">
        <f t="shared" si="14"/>
        <v>1676.8000000000002</v>
      </c>
      <c r="O111" s="10"/>
    </row>
    <row r="112" spans="1:15" ht="69" customHeight="1">
      <c r="A112" s="53"/>
      <c r="B112" s="50"/>
      <c r="C112" s="1" t="s">
        <v>38</v>
      </c>
      <c r="D112" s="1" t="s">
        <v>17</v>
      </c>
      <c r="E112" s="2">
        <f>1.2-0.1+0.1</f>
        <v>1.2</v>
      </c>
      <c r="F112" s="2">
        <v>1.2</v>
      </c>
      <c r="G112" s="2">
        <f>1.1-0.1</f>
        <v>1</v>
      </c>
      <c r="H112" s="2">
        <f>1-0.4</f>
        <v>0.6</v>
      </c>
      <c r="I112" s="2">
        <v>0</v>
      </c>
      <c r="J112" s="2">
        <v>0</v>
      </c>
      <c r="K112" s="2">
        <v>0</v>
      </c>
      <c r="L112" s="33">
        <f t="shared" si="14"/>
        <v>4</v>
      </c>
      <c r="O112" s="10"/>
    </row>
    <row r="113" spans="1:15" ht="81" customHeight="1">
      <c r="A113" s="53"/>
      <c r="B113" s="50"/>
      <c r="C113" s="1" t="s">
        <v>44</v>
      </c>
      <c r="D113" s="1" t="s">
        <v>17</v>
      </c>
      <c r="E113" s="2">
        <v>2555</v>
      </c>
      <c r="F113" s="2">
        <f>2177+159.8+14.7</f>
        <v>2351.5</v>
      </c>
      <c r="G113" s="2">
        <v>2294.3</v>
      </c>
      <c r="H113" s="2">
        <f>2616.5+512.3-10.4</f>
        <v>3118.4</v>
      </c>
      <c r="I113" s="2">
        <v>3472.6</v>
      </c>
      <c r="J113" s="2">
        <v>3597.8</v>
      </c>
      <c r="K113" s="2">
        <v>3701.2</v>
      </c>
      <c r="L113" s="33">
        <f t="shared" si="14"/>
        <v>21090.800000000003</v>
      </c>
      <c r="O113" s="10"/>
    </row>
    <row r="114" spans="1:15" ht="91.5" customHeight="1">
      <c r="A114" s="53"/>
      <c r="B114" s="50"/>
      <c r="C114" s="1" t="s">
        <v>60</v>
      </c>
      <c r="D114" s="1" t="s">
        <v>17</v>
      </c>
      <c r="E114" s="2">
        <v>16.6</v>
      </c>
      <c r="F114" s="2">
        <v>18.1</v>
      </c>
      <c r="G114" s="2">
        <v>19.5</v>
      </c>
      <c r="H114" s="2">
        <v>18.5</v>
      </c>
      <c r="I114" s="2">
        <v>21.1</v>
      </c>
      <c r="J114" s="2">
        <v>18.9</v>
      </c>
      <c r="K114" s="2">
        <v>20.2</v>
      </c>
      <c r="L114" s="33">
        <f t="shared" si="14"/>
        <v>132.9</v>
      </c>
      <c r="O114" s="10"/>
    </row>
    <row r="115" spans="1:15" ht="123.75" customHeight="1">
      <c r="A115" s="46"/>
      <c r="B115" s="19"/>
      <c r="C115" s="1" t="s">
        <v>62</v>
      </c>
      <c r="D115" s="1" t="s">
        <v>17</v>
      </c>
      <c r="E115" s="21">
        <v>0</v>
      </c>
      <c r="F115" s="2">
        <f>201.4+1.5+4.3+2.1+5.1</f>
        <v>214.4</v>
      </c>
      <c r="G115" s="2">
        <f>221.3+1.1+0.7+1</f>
        <v>224.1</v>
      </c>
      <c r="H115" s="2">
        <f>248.8+2.8+2.1+4.1</f>
        <v>257.8</v>
      </c>
      <c r="I115" s="2">
        <f>277.2+1.2+0.4</f>
        <v>278.79999999999995</v>
      </c>
      <c r="J115" s="2">
        <v>292.3</v>
      </c>
      <c r="K115" s="2">
        <v>312.6</v>
      </c>
      <c r="L115" s="33">
        <f t="shared" si="14"/>
        <v>1580</v>
      </c>
      <c r="O115" s="10"/>
    </row>
    <row r="116" spans="1:12" ht="15">
      <c r="A116" s="6"/>
      <c r="B116" s="7"/>
      <c r="C116" s="8"/>
      <c r="D116" s="8"/>
      <c r="E116" s="9"/>
      <c r="F116" s="9"/>
      <c r="G116" s="25"/>
      <c r="H116" s="25"/>
      <c r="I116" s="25"/>
      <c r="J116" s="9"/>
      <c r="K116" s="9"/>
      <c r="L116" s="33"/>
    </row>
    <row r="117" spans="1:12" ht="15">
      <c r="A117" s="6"/>
      <c r="B117" s="7"/>
      <c r="C117" s="8"/>
      <c r="D117" s="8"/>
      <c r="E117" s="9"/>
      <c r="F117" s="9"/>
      <c r="G117" s="25"/>
      <c r="H117" s="25"/>
      <c r="I117" s="25"/>
      <c r="J117" s="9"/>
      <c r="K117" s="9"/>
      <c r="L117" s="33"/>
    </row>
    <row r="118" spans="1:12" ht="15">
      <c r="A118" s="6"/>
      <c r="B118" s="7"/>
      <c r="C118" s="8"/>
      <c r="D118" s="8"/>
      <c r="E118" s="9"/>
      <c r="F118" s="9"/>
      <c r="G118" s="25"/>
      <c r="H118" s="25"/>
      <c r="I118" s="25"/>
      <c r="J118" s="9"/>
      <c r="K118" s="9"/>
      <c r="L118" s="33"/>
    </row>
    <row r="119" spans="5:11" ht="15">
      <c r="E119" s="5"/>
      <c r="F119" s="5"/>
      <c r="G119" s="26"/>
      <c r="H119" s="26"/>
      <c r="I119" s="26"/>
      <c r="J119" s="5"/>
      <c r="K119" s="5"/>
    </row>
    <row r="120" spans="5:11" ht="15">
      <c r="E120" s="10"/>
      <c r="F120" s="10"/>
      <c r="G120" s="27"/>
      <c r="H120" s="27"/>
      <c r="I120" s="27"/>
      <c r="J120" s="10"/>
      <c r="K120" s="10"/>
    </row>
    <row r="125" spans="5:11" ht="15">
      <c r="E125" s="10"/>
      <c r="F125" s="10"/>
      <c r="G125" s="27"/>
      <c r="H125" s="27"/>
      <c r="I125" s="27"/>
      <c r="J125" s="10"/>
      <c r="K125" s="10"/>
    </row>
    <row r="126" ht="15" hidden="1"/>
    <row r="127" spans="5:11" ht="15" hidden="1">
      <c r="E127" s="10"/>
      <c r="F127" s="10"/>
      <c r="G127" s="27"/>
      <c r="H127" s="28">
        <f>H31+H103</f>
        <v>3785414.751270001</v>
      </c>
      <c r="I127" s="28">
        <f>I31+I103</f>
        <v>4004653.8743699994</v>
      </c>
      <c r="J127" s="28">
        <f>J31+J103</f>
        <v>4000941.5600000005</v>
      </c>
      <c r="K127" s="28"/>
    </row>
    <row r="128" spans="6:11" ht="15" hidden="1">
      <c r="F128" s="10"/>
      <c r="G128" s="27"/>
      <c r="H128" s="28">
        <f>H127+H96</f>
        <v>3818472.351270001</v>
      </c>
      <c r="I128" s="28">
        <f>I127+I96</f>
        <v>4042296.0743699996</v>
      </c>
      <c r="J128" s="28">
        <f>J127+J96</f>
        <v>4034044.6000000006</v>
      </c>
      <c r="K128" s="28"/>
    </row>
    <row r="129" spans="6:11" ht="15" hidden="1">
      <c r="F129" s="10"/>
      <c r="G129" s="27"/>
      <c r="H129" s="28">
        <f>H128-H22</f>
        <v>0</v>
      </c>
      <c r="I129" s="28">
        <f>I128-I22</f>
        <v>0</v>
      </c>
      <c r="J129" s="28">
        <f>J128-J22</f>
        <v>0</v>
      </c>
      <c r="K129" s="28"/>
    </row>
    <row r="130" ht="15" hidden="1"/>
    <row r="131" ht="15" hidden="1"/>
    <row r="132" spans="5:11" ht="15" hidden="1">
      <c r="E132" s="11"/>
      <c r="F132" s="11"/>
      <c r="G132" s="28"/>
      <c r="H132" s="28"/>
      <c r="I132" s="28"/>
      <c r="J132" s="11"/>
      <c r="K132" s="11"/>
    </row>
    <row r="133" ht="15" hidden="1"/>
    <row r="134" spans="9:11" ht="15" hidden="1">
      <c r="I134" s="28">
        <f>I98+I99+I44+I45</f>
        <v>67933.7</v>
      </c>
      <c r="J134" s="28">
        <f>J98+J99+J44+J45</f>
        <v>58829.14</v>
      </c>
      <c r="K134" s="28">
        <f>K98+K99+K44+K45</f>
        <v>58914.14</v>
      </c>
    </row>
    <row r="135" ht="15" hidden="1"/>
    <row r="136" ht="15" hidden="1"/>
    <row r="137" ht="15" hidden="1"/>
    <row r="138" ht="15">
      <c r="E138" s="10"/>
    </row>
  </sheetData>
  <sheetProtection/>
  <mergeCells count="57">
    <mergeCell ref="B24:B99"/>
    <mergeCell ref="A24:A99"/>
    <mergeCell ref="C95:C96"/>
    <mergeCell ref="C55:C56"/>
    <mergeCell ref="C84:C85"/>
    <mergeCell ref="C40:C41"/>
    <mergeCell ref="C77:K77"/>
    <mergeCell ref="C42:C43"/>
    <mergeCell ref="C44:C45"/>
    <mergeCell ref="C81:C82"/>
    <mergeCell ref="C34:C35"/>
    <mergeCell ref="C78:C79"/>
    <mergeCell ref="C52:C53"/>
    <mergeCell ref="E16:K16"/>
    <mergeCell ref="C74:K74"/>
    <mergeCell ref="D20:K20"/>
    <mergeCell ref="C30:C32"/>
    <mergeCell ref="C24:C28"/>
    <mergeCell ref="C71:K71"/>
    <mergeCell ref="C36:C37"/>
    <mergeCell ref="A100:A114"/>
    <mergeCell ref="B100:B114"/>
    <mergeCell ref="C33:J33"/>
    <mergeCell ref="C75:C76"/>
    <mergeCell ref="D101:K101"/>
    <mergeCell ref="C104:K104"/>
    <mergeCell ref="C72:C73"/>
    <mergeCell ref="C107:K107"/>
    <mergeCell ref="C80:K80"/>
    <mergeCell ref="C83:K83"/>
    <mergeCell ref="B19:B23"/>
    <mergeCell ref="A19:A23"/>
    <mergeCell ref="C105:C106"/>
    <mergeCell ref="C94:K94"/>
    <mergeCell ref="C97:K97"/>
    <mergeCell ref="C92:C93"/>
    <mergeCell ref="C19:C23"/>
    <mergeCell ref="C48:C49"/>
    <mergeCell ref="D25:K25"/>
    <mergeCell ref="C29:K29"/>
    <mergeCell ref="A9:K9"/>
    <mergeCell ref="A10:K10"/>
    <mergeCell ref="A11:K11"/>
    <mergeCell ref="B14:B17"/>
    <mergeCell ref="C14:C17"/>
    <mergeCell ref="A14:A17"/>
    <mergeCell ref="D14:K14"/>
    <mergeCell ref="D15:K15"/>
    <mergeCell ref="C50:C51"/>
    <mergeCell ref="C88:K88"/>
    <mergeCell ref="C91:K91"/>
    <mergeCell ref="C100:C103"/>
    <mergeCell ref="C89:C90"/>
    <mergeCell ref="C98:C99"/>
    <mergeCell ref="C86:C87"/>
    <mergeCell ref="C64:C65"/>
    <mergeCell ref="C68:C69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2019-09-25T11:24:34Z</cp:lastPrinted>
  <dcterms:created xsi:type="dcterms:W3CDTF">2014-06-08T13:25:44Z</dcterms:created>
  <dcterms:modified xsi:type="dcterms:W3CDTF">2019-10-04T11:53:39Z</dcterms:modified>
  <cp:category/>
  <cp:version/>
  <cp:contentType/>
  <cp:contentStatus/>
</cp:coreProperties>
</file>