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август" sheetId="24" r:id="rId1"/>
  </sheets>
  <definedNames>
    <definedName name="_xlnm.Print_Titles" localSheetId="0">август!$5:$7</definedName>
    <definedName name="_xlnm.Print_Area" localSheetId="0">август!$A$1:$K$131</definedName>
  </definedNames>
  <calcPr calcId="152511"/>
</workbook>
</file>

<file path=xl/calcChain.xml><?xml version="1.0" encoding="utf-8"?>
<calcChain xmlns="http://schemas.openxmlformats.org/spreadsheetml/2006/main">
  <c r="H85" i="24" l="1"/>
  <c r="K111" i="24"/>
  <c r="H111" i="24"/>
  <c r="K57" i="24" l="1"/>
  <c r="H57" i="24"/>
  <c r="I61" i="24"/>
  <c r="H61" i="24"/>
  <c r="H69" i="24"/>
  <c r="H122" i="24"/>
  <c r="H128" i="24"/>
  <c r="H99" i="24" l="1"/>
  <c r="E91" i="24"/>
  <c r="E90" i="24"/>
  <c r="I67" i="24"/>
  <c r="H80" i="24"/>
  <c r="H78" i="24"/>
  <c r="G128" i="24"/>
  <c r="F128" i="24"/>
  <c r="E128" i="24" s="1"/>
  <c r="E127" i="24"/>
  <c r="G126" i="24"/>
  <c r="E126" i="24" s="1"/>
  <c r="G125" i="24"/>
  <c r="F125" i="24"/>
  <c r="G124" i="24"/>
  <c r="F124" i="24"/>
  <c r="H123" i="24"/>
  <c r="H121" i="24" s="1"/>
  <c r="H120" i="24" s="1"/>
  <c r="G123" i="24"/>
  <c r="F123" i="24"/>
  <c r="E123" i="24" s="1"/>
  <c r="G122" i="24"/>
  <c r="F122" i="24"/>
  <c r="K121" i="24"/>
  <c r="K120" i="24" s="1"/>
  <c r="J121" i="24"/>
  <c r="I121" i="24"/>
  <c r="I120" i="24" s="1"/>
  <c r="G121" i="24"/>
  <c r="G120" i="24" s="1"/>
  <c r="J120" i="24"/>
  <c r="E119" i="24"/>
  <c r="E118" i="24"/>
  <c r="E117" i="24"/>
  <c r="E116" i="24"/>
  <c r="E115" i="24"/>
  <c r="E114" i="24"/>
  <c r="E113" i="24"/>
  <c r="E112" i="24"/>
  <c r="E111" i="24"/>
  <c r="G110" i="24"/>
  <c r="E110" i="24" s="1"/>
  <c r="E109" i="24"/>
  <c r="G108" i="24"/>
  <c r="F108" i="24"/>
  <c r="E108" i="24" s="1"/>
  <c r="F107" i="24"/>
  <c r="E107" i="24"/>
  <c r="F106" i="24"/>
  <c r="E106" i="24"/>
  <c r="I105" i="24"/>
  <c r="H105" i="24"/>
  <c r="G105" i="24"/>
  <c r="F105" i="24"/>
  <c r="E104" i="24"/>
  <c r="F103" i="24"/>
  <c r="E103" i="24" s="1"/>
  <c r="F102" i="24"/>
  <c r="E102" i="24"/>
  <c r="H101" i="24"/>
  <c r="F101" i="24"/>
  <c r="E101" i="24" s="1"/>
  <c r="G100" i="24"/>
  <c r="F100" i="24"/>
  <c r="E100" i="24" s="1"/>
  <c r="K99" i="24"/>
  <c r="G99" i="24"/>
  <c r="F99" i="24"/>
  <c r="E98" i="24"/>
  <c r="K97" i="24"/>
  <c r="G97" i="24"/>
  <c r="G93" i="24" s="1"/>
  <c r="G92" i="24" s="1"/>
  <c r="F97" i="24"/>
  <c r="K96" i="24"/>
  <c r="J96" i="24"/>
  <c r="I96" i="24"/>
  <c r="H96" i="24"/>
  <c r="F95" i="24"/>
  <c r="E95" i="24"/>
  <c r="K94" i="24"/>
  <c r="J94" i="24"/>
  <c r="J10" i="24" s="1"/>
  <c r="I94" i="24"/>
  <c r="H94" i="24"/>
  <c r="G94" i="24"/>
  <c r="F94" i="24"/>
  <c r="K93" i="24"/>
  <c r="K92" i="24" s="1"/>
  <c r="J93" i="24"/>
  <c r="J9" i="24" s="1"/>
  <c r="J8" i="24" s="1"/>
  <c r="I93" i="24"/>
  <c r="I92" i="24" s="1"/>
  <c r="H93" i="24"/>
  <c r="H92" i="24" s="1"/>
  <c r="F93" i="24"/>
  <c r="F92" i="24" s="1"/>
  <c r="H89" i="24"/>
  <c r="E89" i="24" s="1"/>
  <c r="E88" i="24"/>
  <c r="H87" i="24"/>
  <c r="E87" i="24" s="1"/>
  <c r="H86" i="24"/>
  <c r="E86" i="24" s="1"/>
  <c r="E85" i="24"/>
  <c r="K84" i="24"/>
  <c r="E84" i="24" s="1"/>
  <c r="E83" i="24"/>
  <c r="H82" i="24"/>
  <c r="E82" i="24"/>
  <c r="E81" i="24"/>
  <c r="E80" i="24"/>
  <c r="G79" i="24"/>
  <c r="E79" i="24"/>
  <c r="K78" i="24"/>
  <c r="E78" i="24"/>
  <c r="E77" i="24"/>
  <c r="E76" i="24"/>
  <c r="K75" i="24"/>
  <c r="J75" i="24"/>
  <c r="I75" i="24"/>
  <c r="H75" i="24"/>
  <c r="G75" i="24"/>
  <c r="F75" i="24"/>
  <c r="G74" i="24"/>
  <c r="E74" i="24" s="1"/>
  <c r="K73" i="24"/>
  <c r="K72" i="24" s="1"/>
  <c r="H73" i="24"/>
  <c r="G73" i="24"/>
  <c r="J72" i="24"/>
  <c r="I72" i="24"/>
  <c r="H72" i="24"/>
  <c r="F72" i="24"/>
  <c r="E71" i="24"/>
  <c r="E70" i="24"/>
  <c r="E69" i="24"/>
  <c r="K68" i="24"/>
  <c r="J68" i="24"/>
  <c r="I68" i="24"/>
  <c r="G68" i="24"/>
  <c r="F68" i="24"/>
  <c r="H67" i="24"/>
  <c r="G67" i="24"/>
  <c r="K66" i="24"/>
  <c r="G66" i="24"/>
  <c r="E66" i="24" s="1"/>
  <c r="H65" i="24"/>
  <c r="G65" i="24"/>
  <c r="F65" i="24"/>
  <c r="E65" i="24" s="1"/>
  <c r="E64" i="24"/>
  <c r="H63" i="24"/>
  <c r="E63" i="24" s="1"/>
  <c r="E62" i="24"/>
  <c r="K61" i="24"/>
  <c r="K60" i="24" s="1"/>
  <c r="G61" i="24"/>
  <c r="E61" i="24" s="1"/>
  <c r="J60" i="24"/>
  <c r="I60" i="24"/>
  <c r="G60" i="24"/>
  <c r="F60" i="24"/>
  <c r="H59" i="24"/>
  <c r="E59" i="24" s="1"/>
  <c r="F58" i="24"/>
  <c r="E58" i="24" s="1"/>
  <c r="G57" i="24"/>
  <c r="F57" i="24"/>
  <c r="E57" i="24" s="1"/>
  <c r="K56" i="24"/>
  <c r="E56" i="24" s="1"/>
  <c r="G55" i="24"/>
  <c r="E55" i="24" s="1"/>
  <c r="G54" i="24"/>
  <c r="E54" i="24" s="1"/>
  <c r="G53" i="24"/>
  <c r="E53" i="24" s="1"/>
  <c r="E52" i="24"/>
  <c r="K51" i="24"/>
  <c r="H51" i="24"/>
  <c r="E51" i="24" s="1"/>
  <c r="E50" i="24"/>
  <c r="K49" i="24"/>
  <c r="J49" i="24"/>
  <c r="I49" i="24"/>
  <c r="G49" i="24"/>
  <c r="F49" i="24"/>
  <c r="E48" i="24"/>
  <c r="E47" i="24"/>
  <c r="F46" i="24"/>
  <c r="E46" i="24" s="1"/>
  <c r="H45" i="24"/>
  <c r="E45" i="24" s="1"/>
  <c r="K44" i="24"/>
  <c r="J44" i="24"/>
  <c r="I44" i="24"/>
  <c r="G44" i="24"/>
  <c r="F43" i="24"/>
  <c r="E43" i="24" s="1"/>
  <c r="F42" i="24"/>
  <c r="E42" i="24" s="1"/>
  <c r="E41" i="24"/>
  <c r="J40" i="24"/>
  <c r="J14" i="24" s="1"/>
  <c r="I40" i="24"/>
  <c r="I14" i="24" s="1"/>
  <c r="H40" i="24"/>
  <c r="F40" i="24"/>
  <c r="K39" i="24"/>
  <c r="J39" i="24"/>
  <c r="H39" i="24"/>
  <c r="G39" i="24"/>
  <c r="G38" i="24"/>
  <c r="E38" i="24" s="1"/>
  <c r="G37" i="24"/>
  <c r="F37" i="24"/>
  <c r="I36" i="24"/>
  <c r="H36" i="24"/>
  <c r="G35" i="24"/>
  <c r="E35" i="24" s="1"/>
  <c r="G34" i="24"/>
  <c r="G14" i="24" s="1"/>
  <c r="F34" i="24"/>
  <c r="I33" i="24"/>
  <c r="H33" i="24"/>
  <c r="G33" i="24"/>
  <c r="G32" i="24"/>
  <c r="F32" i="24"/>
  <c r="E32" i="24" s="1"/>
  <c r="F31" i="24"/>
  <c r="E31" i="24" s="1"/>
  <c r="F30" i="24"/>
  <c r="E30" i="24" s="1"/>
  <c r="F29" i="24"/>
  <c r="E29" i="24" s="1"/>
  <c r="F28" i="24"/>
  <c r="E28" i="24" s="1"/>
  <c r="F27" i="24"/>
  <c r="E27" i="24" s="1"/>
  <c r="F26" i="24"/>
  <c r="E26" i="24" s="1"/>
  <c r="F25" i="24"/>
  <c r="E25" i="24" s="1"/>
  <c r="F24" i="24"/>
  <c r="E24" i="24" s="1"/>
  <c r="I23" i="24"/>
  <c r="H23" i="24"/>
  <c r="G23" i="24"/>
  <c r="F22" i="24"/>
  <c r="E22" i="24" s="1"/>
  <c r="E21" i="24"/>
  <c r="H20" i="24"/>
  <c r="F20" i="24"/>
  <c r="E20" i="24" s="1"/>
  <c r="K19" i="24"/>
  <c r="J19" i="24"/>
  <c r="I19" i="24"/>
  <c r="H19" i="24"/>
  <c r="G19" i="24"/>
  <c r="F19" i="24"/>
  <c r="E19" i="24" s="1"/>
  <c r="F18" i="24"/>
  <c r="E18" i="24" s="1"/>
  <c r="F17" i="24"/>
  <c r="E17" i="24" s="1"/>
  <c r="K16" i="24"/>
  <c r="J16" i="24"/>
  <c r="I16" i="24"/>
  <c r="H16" i="24"/>
  <c r="G16" i="24"/>
  <c r="F16" i="24"/>
  <c r="E16" i="24" s="1"/>
  <c r="K15" i="24"/>
  <c r="J15" i="24"/>
  <c r="I15" i="24"/>
  <c r="G15" i="24"/>
  <c r="F15" i="24"/>
  <c r="I13" i="24"/>
  <c r="F14" i="24"/>
  <c r="J13" i="24"/>
  <c r="F13" i="24"/>
  <c r="K11" i="24"/>
  <c r="J11" i="24"/>
  <c r="I11" i="24"/>
  <c r="H11" i="24"/>
  <c r="G11" i="24"/>
  <c r="F11" i="24"/>
  <c r="E11" i="24" s="1"/>
  <c r="K10" i="24"/>
  <c r="I10" i="24"/>
  <c r="G10" i="24"/>
  <c r="G13" i="24" l="1"/>
  <c r="G9" i="24"/>
  <c r="G8" i="24" s="1"/>
  <c r="H49" i="24"/>
  <c r="E49" i="24" s="1"/>
  <c r="E73" i="24"/>
  <c r="E93" i="24"/>
  <c r="E94" i="24"/>
  <c r="G96" i="24"/>
  <c r="E105" i="24"/>
  <c r="F10" i="24"/>
  <c r="E10" i="24" s="1"/>
  <c r="E37" i="24"/>
  <c r="F44" i="24"/>
  <c r="J92" i="24"/>
  <c r="E97" i="24"/>
  <c r="E99" i="24"/>
  <c r="E124" i="24"/>
  <c r="G36" i="24"/>
  <c r="H15" i="24"/>
  <c r="H10" i="24" s="1"/>
  <c r="H14" i="24"/>
  <c r="E34" i="24"/>
  <c r="I39" i="24"/>
  <c r="H44" i="24"/>
  <c r="K14" i="24"/>
  <c r="E122" i="24"/>
  <c r="E125" i="24"/>
  <c r="I9" i="24"/>
  <c r="I8" i="24" s="1"/>
  <c r="E40" i="24"/>
  <c r="E67" i="24"/>
  <c r="H68" i="24"/>
  <c r="E68" i="24" s="1"/>
  <c r="G72" i="24"/>
  <c r="E72" i="24" s="1"/>
  <c r="E75" i="24"/>
  <c r="E92" i="24"/>
  <c r="F23" i="24"/>
  <c r="E23" i="24" s="1"/>
  <c r="F33" i="24"/>
  <c r="E33" i="24" s="1"/>
  <c r="F36" i="24"/>
  <c r="F39" i="24"/>
  <c r="E39" i="24" s="1"/>
  <c r="H60" i="24"/>
  <c r="E60" i="24" s="1"/>
  <c r="F96" i="24"/>
  <c r="E96" i="24" s="1"/>
  <c r="F121" i="24"/>
  <c r="E14" i="24" l="1"/>
  <c r="E36" i="24"/>
  <c r="H13" i="24"/>
  <c r="E13" i="24" s="1"/>
  <c r="E15" i="24"/>
  <c r="K13" i="24"/>
  <c r="K9" i="24"/>
  <c r="K8" i="24" s="1"/>
  <c r="H9" i="24"/>
  <c r="H8" i="24" s="1"/>
  <c r="E44" i="24"/>
  <c r="F9" i="24"/>
  <c r="E121" i="24"/>
  <c r="F120" i="24"/>
  <c r="E120" i="24" s="1"/>
  <c r="E9" i="24" l="1"/>
  <c r="F8" i="24"/>
  <c r="E8" i="24" s="1"/>
</calcChain>
</file>

<file path=xl/sharedStrings.xml><?xml version="1.0" encoding="utf-8"?>
<sst xmlns="http://schemas.openxmlformats.org/spreadsheetml/2006/main" count="232" uniqueCount="110">
  <si>
    <t>Ответственный исполнитель муниципальной программы</t>
  </si>
  <si>
    <t>Управление градостроительства и архитектуры администрации города Пензы</t>
  </si>
  <si>
    <t>№ п/п</t>
  </si>
  <si>
    <t>Статус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</si>
  <si>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</si>
  <si>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</si>
  <si>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</si>
  <si>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Всего</t>
  </si>
  <si>
    <t>2015 г.</t>
  </si>
  <si>
    <t>2016 г.</t>
  </si>
  <si>
    <t>2017 г.</t>
  </si>
  <si>
    <t>2018 г.</t>
  </si>
  <si>
    <t>Муниципальная программа</t>
  </si>
  <si>
    <t>в т.ч. бюджет города Пензы</t>
  </si>
  <si>
    <t>бюджет Пензенской области</t>
  </si>
  <si>
    <t>федеральный бюджет</t>
  </si>
  <si>
    <t>Подпрограмма 1</t>
  </si>
  <si>
    <t>Капитальное строительство, реконструкция и капитальный ремонт объектов города Пензы</t>
  </si>
  <si>
    <t>Реконструкция улично-дорожной сети г. Пензы. Реконструкция улиц: Суворова, Некрасова, Толстого</t>
  </si>
  <si>
    <t>бюджет города Пензы</t>
  </si>
  <si>
    <t>Реконструкция ул. Пушкина, г. Пенза</t>
  </si>
  <si>
    <t>всего</t>
  </si>
  <si>
    <t>Реконструкция улично-дорожной сети г. Пензы. Строительство автодороги в мкр. Междуречье</t>
  </si>
  <si>
    <t>Капитальный ремонт фонтана около больницы скорой помощи, г. Пенза</t>
  </si>
  <si>
    <t>Капитальный ремонт сквера у памятника Победы, г. Пенза</t>
  </si>
  <si>
    <t>Капитальный ремонт сквера «Пионерский», г. Пенза</t>
  </si>
  <si>
    <t>Изготовление и монтаж Георгиевского креста в сквере "Пионерский", г. Пенза</t>
  </si>
  <si>
    <t>Изготовление и монтаж композиции "Журавли" в сквере "Пионерский", г. Пенза</t>
  </si>
  <si>
    <t>Реконструкция корпуса №2 ДОУ №39 по ул. Беляева, 25а</t>
  </si>
  <si>
    <t>Детский сад в районе ул. Измайлова, 56 в г. Пенза</t>
  </si>
  <si>
    <t>Строительство корпуса №2 МБДОУ №120 (г. Пенза, ул.Экспериментальная, 2б)</t>
  </si>
  <si>
    <t>Строительство корпуса №2 МБОУ СОШ №69 (г. Пенза, ул. Терновского, 168)</t>
  </si>
  <si>
    <t>Строительство школы в районе ул. Шевченко/Новый Кавказ в г. Пензе</t>
  </si>
  <si>
    <t>Реконструкция Пензенского городского зоопарка, г. Пенза, ул. Красная, 10</t>
  </si>
  <si>
    <t>Капитальный ремонт Монумента Славы, г. Пенза</t>
  </si>
  <si>
    <t xml:space="preserve">Обеспечение предоставления жилых помещений детям-сиротам и детям, оставшимся без попечения родителей, и лицам из числа детей-сирот и детей, оставшихся без попечения родителей </t>
  </si>
  <si>
    <t>в т.ч. бюджет Пензенской области</t>
  </si>
  <si>
    <t>Водоснабжение пос. Победа, г. Пенза</t>
  </si>
  <si>
    <t>Строительство магистральной водопроводной сети до пос. Лесной</t>
  </si>
  <si>
    <t>Строительство сети водоотведения пос. Лесной в г. Пензе</t>
  </si>
  <si>
    <t>Канализование жилых домов с 1 по 197 по адресу: г. Пенза, ул. Арбековская</t>
  </si>
  <si>
    <t>Водоснабжение жилых домов с №1 по №197 по ул. Арбековская в г. Пензе.</t>
  </si>
  <si>
    <t>Строительство надземных пешеходных переходов, г. Пенза</t>
  </si>
  <si>
    <t>Строительство универсального спортивно-оздоровительного комплекса в районе Шуист г. Пензы</t>
  </si>
  <si>
    <t>Строительство сетей ливневой канализации по ул.Кривозерье, г.Пенза</t>
  </si>
  <si>
    <t>Строительство учреждения культуры и искусства (Театр юного зрителя), г. Пенза</t>
  </si>
  <si>
    <t>Реконструкция ул.Бакунина (от ул.Плеханова до ул.Кулакова)</t>
  </si>
  <si>
    <t>Реконструкция тренировочной площадки спортивного комплекса на базе муниципального автономного учреждения "Футбольный Клуб  "Зенит", Пензенская область, г. Пенза, Октябрьский район, ул.Германа Титова, д.3А»</t>
  </si>
  <si>
    <t>Строительство лыжного стадиона "Снежинка", г.Пенза</t>
  </si>
  <si>
    <t>Объект культурного наследия регионального значения "Дом жилой (деревянный), XIX в.", г.Пенза</t>
  </si>
  <si>
    <t>Подпрограмма 2</t>
  </si>
  <si>
    <t>Стимулирование развития жилищного строительства в городе Пензе</t>
  </si>
  <si>
    <t>Строительство автодороги в микрорайоне, расположенном между пос.Нефтяник и пос.Заря</t>
  </si>
  <si>
    <t>Строительство автодороги в районе ул. Бадигина</t>
  </si>
  <si>
    <t>Строительство магистральной сети хозяйственно-бытовой канализации в жилом районе Заря, г. Пенза</t>
  </si>
  <si>
    <t>Строительство магистральной ливневой канализации к участкам многоквартирных жилых домов, расположенным севернее мкр. №6 жилого района Заря 1, г. Пенза</t>
  </si>
  <si>
    <t>Строительство сетей газоснабжения к участкам многоквартирных жилых домов, расположенным севернее мкр. №6 жилого района Заря 1, г. Пенза</t>
  </si>
  <si>
    <t>Строительство сетей газоснабжения в микрорайоне, расположенном между пос.Нефтяник и пос.Заря</t>
  </si>
  <si>
    <t>Насосная станция 3-го подъема в микрорайоне Арбеково г. Пензы</t>
  </si>
  <si>
    <t>Строительство сетей водоснабжения в микрорайоне, расположенном между пос. Нефтяник и пос. Заря</t>
  </si>
  <si>
    <t>Строительство ливневой канализации в мкр.Шуист</t>
  </si>
  <si>
    <t>Подпрограмма 3</t>
  </si>
  <si>
    <t>Управление развитием в области капитального строительства и рекламно-информационного, художественного оформления и дизайна в городе Пензе</t>
  </si>
  <si>
    <t>Обеспечение деятельности МКУ УКС г. Пензы</t>
  </si>
  <si>
    <t>Подготовка документации по планировке территорий города Пензы</t>
  </si>
  <si>
    <t>Проведение кадастровых работ по установлению (изменению) границы городского округа - город Пенза и земель населенного пункта в его границах</t>
  </si>
  <si>
    <t>Проведение кадастровых работ по установлению границ территориальных зон для последующего внесения данных сведений в государственный кадастр недвижимости</t>
  </si>
  <si>
    <t>Проведение городского конкурса на разработку проекта благоустройства набережной реки Суры в городе Пензе (территория между Бакунинским мостом и островом Пески: левый берег-ул.Урицкого, правый берег - ул.Злобина)</t>
  </si>
  <si>
    <t>Мероприятие по контролю за размещением наружной рекламы на территории города Пензы</t>
  </si>
  <si>
    <t>Первый заместитель главы администрации</t>
  </si>
  <si>
    <t>Строительство общегородской магистрали от II микрорайона Арбеково до микрорайона малоэтажной застройки "Заря" в г.Пензе с примыканием к федеральной дороге М-5 "Урал""</t>
  </si>
  <si>
    <t>Строительство школы в мкр.Шуист, г.Пенза</t>
  </si>
  <si>
    <t>Строительство детского сада на 175 мест в мкр.Заря, г.Пенза</t>
  </si>
  <si>
    <t>Расходы на определение границ прилегающих к некоторым организациям и объектам территорий, на которых не допускается розничная продажа алкогольной продукции</t>
  </si>
  <si>
    <t>Строительство сетей водосабжения пос. "ЗИФ", г.Пенза</t>
  </si>
  <si>
    <t>С.В. Волков</t>
  </si>
  <si>
    <t>Реконструкция улично-дорожной сети г.Пензы. Капитальный ремонт Свердловского моста</t>
  </si>
  <si>
    <t>Капитальный ремонт автомобильной дороги - подъезд к микрорайону "Заря" г.Пензы от федеральной автомобильной дороги М-5 "Урал"</t>
  </si>
  <si>
    <t>Строительство корпуса № 2 детского сада по ул.Макаренко, д.20, в г.Пенза</t>
  </si>
  <si>
    <t>Капитальный ремонт основного (игрового) поля стадиона «Пенза», по адресу: г.Пенза, ул. Гагарина, 1А</t>
  </si>
  <si>
    <t>Строительство сетей водоснабжения для участков, выделенных под строительство индивидуальных жилых домов для семей, имеющих 3-х и более детей в районе ул.Клубничная, г.Пенза</t>
  </si>
  <si>
    <t>Строительство сетей водоснабжения для участков, выделенных под строительство индивидуальных жилых домов для семей, имеющих 3-х и более детей расположенных севернее микрорайона №1 «Заря-2», г.Пенза</t>
  </si>
  <si>
    <t>Строительство внутриквартальных сетей водоснабжения в районе малоэтажной застройки Заря южнее ул.Новоселов, г.Пенза</t>
  </si>
  <si>
    <t>Строительство внутриквартальных дорог в районе малоэтажной застройки Заря южнее ул. Новоселов, г. Пенза</t>
  </si>
  <si>
    <t>Строительство дорог для участков, выделенных под строительство индивидуальных жилых домов для семей, имеющих 3-х и более детей в районе ул. Клубничная, г. Пенза</t>
  </si>
  <si>
    <t>-</t>
  </si>
  <si>
    <t>бюджет Пензеснкой области</t>
  </si>
  <si>
    <t>2019 г.</t>
  </si>
  <si>
    <t>2020 г.</t>
  </si>
  <si>
    <t>Реконструкция автомобильной дороги от ул. 40 лет Октября до ул.Центральная, г.Пенза</t>
  </si>
  <si>
    <t>Строительство Нового Восточного кладбища</t>
  </si>
  <si>
    <t xml:space="preserve">Приложение №2 
к муниципальной программе 
«Развитие территорий, социальной 
и инженерной инфраструктуры 
в городе Пензе на 2015-2020 годы»
</t>
  </si>
  <si>
    <t>Ресурсное обеспечение реализации муниципальной программы «Развитие территорий, социальной и инженерной инфраструктуры в городе Пензе на 2015-2020 годы» за счет всех источников финансирования</t>
  </si>
  <si>
    <t>Развитие территорий, социальной и инженерной инфраструктуры города Пензы на 2015-2020 годы</t>
  </si>
  <si>
    <t>Реконструкция водопровода в районе набережной р.Суры, на участке от ул. Славы до ул. Набережная р.Пензы, г. Пенза</t>
  </si>
  <si>
    <t>Реконструкция сетей ливневой канализации в районе набережной р.Суры на участке от ул.Бакунина до ул. Славы, г. Пензы</t>
  </si>
  <si>
    <t>Реконструкция ул. Антонова, г. Пенза*</t>
  </si>
  <si>
    <t>Реконструкция улично-дорожной сети г.Пензы». Реконструкция моста через р. Суру в створе улицы Бакунина с реконструкцией подходов к нему от ул. Урицкого до ул. Злобина</t>
  </si>
  <si>
    <t xml:space="preserve">Капитальный ремонт набережной реки Суры </t>
  </si>
  <si>
    <t>Реконструкция набережной реки Суры. I этап</t>
  </si>
  <si>
    <t>Реконструкция лагеря "Орленок"</t>
  </si>
  <si>
    <t>Строительство школы в 6 мкр. "Арбеково", г. Пенза</t>
  </si>
  <si>
    <t>Строительство участка дороги по ул. Глазунова от ул.Рахманинова до проспекта Строителей, г. Пенза</t>
  </si>
  <si>
    <t>Строительство водопроводной сети в мкр. №6 "Заря-1" севернее ул.Магистральная, г.Пенза</t>
  </si>
  <si>
    <t>Реконструкция дороги по ул. Новоселов, г.Пенза</t>
  </si>
  <si>
    <t>Строительство дорог для участков, выделенных под строительство индивидуальных жилых домов для семей, имеющих 3-х и более детей, расположенных севернее микрорайона №1 "Заря-2", г.Пенза</t>
  </si>
  <si>
    <t>Капитальный ремонт площади имени В.И. Ленина</t>
  </si>
  <si>
    <t>Реконструкция улично-дорожной сети г.Пензы. Реконструкция ул.Металлистов-пр.Баумана</t>
  </si>
  <si>
    <t>Реконструкция нежилого здания, расположенного по адресу ул.Рылеева, 1А, г.Пенза</t>
  </si>
  <si>
    <t>Приложение 2 к Постановлению администрации города Пензы от 11.09.2017 №1663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</si>
</sst>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_р_._-;\-* #,##0.00_р_._-;_-* &quot;-&quot;??_р_._-;_-@_-"/>
    <numFmt numFmtId="164" formatCode="#,##0.00000"/>
    <numFmt numFmtId="165" formatCode="#,##0.000"/>
    <numFmt numFmtId="166" formatCode="#,##0.0000000"/>
    <numFmt numFmtId="167" formatCode="#,##0.00_ ;\-#,##0.00\ "/>
    <numFmt numFmtId="168" formatCode="_-* #,##0.0_р_._-;\-* #,##0.0_р_._-;_-* &quot;-&quot;??_р_._-;_-@_-"/>
    <numFmt numFmtId="169" formatCode="_-* #,##0.0_р_._-;\-* #,##0.0_р_._-;_-* &quot;-&quot;?_р_._-;_-@_-"/>
    <numFmt numFmtId="170" formatCode="_-* #,##0.000_р_._-;\-* #,##0.000_р_._-;_-* &quot;-&quot;???_р_._-;_-@_-"/>
    <numFmt numFmtId="171" formatCode="_-* #,##0.000_р_._-;\-* #,##0.000_р_._-;_-* &quot;-&quot;??_р_._-;_-@_-"/>
    <numFmt numFmtId="172" formatCode="#,##0.00000_ ;\-#,##0.00000\ "/>
    <numFmt numFmtId="173" formatCode="#,##0.000000_ ;\-#,##0.000000\ "/>
    <numFmt numFmtId="174" formatCode="#,##0.000_ ;\-#,##0.000\ "/>
    <numFmt numFmtId="175" formatCode="#,##0.0_ ;\-#,##0.0\ "/>
    <numFmt numFmtId="176" formatCode="_-* #,##0.00000_р_._-;\-* #,##0.00000_р_._-;_-* &quot;-&quot;??_р_._-;_-@_-"/>
    <numFmt numFmtId="177" formatCode="#,##0.0000_ ;\-#,##0.0000\ "/>
    <numFmt numFmtId="178" formatCode="#,##0.0000"/>
    <numFmt numFmtId="181" formatCode="_-* #,##0.0000_р_._-;\-* #,##0.0000_р_._-;_-* &quot;-&quot;??_р_._-;_-@_-"/>
    <numFmt numFmtId="183" formatCode="_-* #,##0.00000_р_._-;\-* #,##0.00000_р_._-;_-* &quot;-&quot;?????_р_._-;_-@_-"/>
    <numFmt numFmtId="184" formatCode="0.00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7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3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Arial Cyr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6" fillId="2" borderId="0" xfId="1" applyFont="1" applyFill="1"/>
    <xf numFmtId="0" fontId="5" fillId="2" borderId="0" xfId="0" applyFont="1" applyFill="1"/>
    <xf numFmtId="0" fontId="6" fillId="2" borderId="0" xfId="1" applyFont="1" applyFill="1" applyAlignment="1">
      <alignment vertical="top" wrapText="1"/>
    </xf>
    <xf numFmtId="0" fontId="7" fillId="2" borderId="0" xfId="1" applyFont="1" applyFill="1" applyBorder="1" applyAlignment="1">
      <alignment vertical="top" wrapText="1"/>
    </xf>
    <xf numFmtId="0" fontId="9" fillId="2" borderId="2" xfId="1" applyFont="1" applyFill="1" applyBorder="1" applyAlignment="1">
      <alignment horizontal="center" vertical="top" wrapText="1"/>
    </xf>
    <xf numFmtId="0" fontId="10" fillId="2" borderId="2" xfId="1" applyFont="1" applyFill="1" applyBorder="1" applyAlignment="1">
      <alignment horizontal="justify" vertical="top" wrapText="1"/>
    </xf>
    <xf numFmtId="164" fontId="10" fillId="2" borderId="2" xfId="2" applyNumberFormat="1" applyFont="1" applyFill="1" applyBorder="1" applyAlignment="1">
      <alignment horizontal="center" vertical="top" wrapText="1"/>
    </xf>
    <xf numFmtId="165" fontId="10" fillId="2" borderId="2" xfId="2" applyNumberFormat="1" applyFont="1" applyFill="1" applyBorder="1" applyAlignment="1">
      <alignment horizontal="center" vertical="top" wrapText="1"/>
    </xf>
    <xf numFmtId="4" fontId="10" fillId="2" borderId="2" xfId="2" applyNumberFormat="1" applyFont="1" applyFill="1" applyBorder="1" applyAlignment="1">
      <alignment horizontal="center" vertical="top" wrapText="1"/>
    </xf>
    <xf numFmtId="178" fontId="10" fillId="2" borderId="2" xfId="2" applyNumberFormat="1" applyFont="1" applyFill="1" applyBorder="1" applyAlignment="1">
      <alignment horizontal="center" vertical="top" wrapText="1"/>
    </xf>
    <xf numFmtId="0" fontId="9" fillId="2" borderId="2" xfId="1" applyFont="1" applyFill="1" applyBorder="1" applyAlignment="1">
      <alignment vertical="top" wrapText="1"/>
    </xf>
    <xf numFmtId="164" fontId="9" fillId="2" borderId="2" xfId="2" applyNumberFormat="1" applyFont="1" applyFill="1" applyBorder="1" applyAlignment="1">
      <alignment horizontal="center" vertical="top" wrapText="1"/>
    </xf>
    <xf numFmtId="4" fontId="9" fillId="2" borderId="2" xfId="2" applyNumberFormat="1" applyFont="1" applyFill="1" applyBorder="1" applyAlignment="1">
      <alignment horizontal="center" vertical="top" wrapText="1"/>
    </xf>
    <xf numFmtId="165" fontId="9" fillId="2" borderId="2" xfId="2" applyNumberFormat="1" applyFont="1" applyFill="1" applyBorder="1" applyAlignment="1">
      <alignment horizontal="center" vertical="top" wrapText="1"/>
    </xf>
    <xf numFmtId="178" fontId="9" fillId="2" borderId="2" xfId="2" applyNumberFormat="1" applyFont="1" applyFill="1" applyBorder="1" applyAlignment="1">
      <alignment horizontal="center" vertical="top" wrapText="1"/>
    </xf>
    <xf numFmtId="0" fontId="11" fillId="2" borderId="2" xfId="1" applyFont="1" applyFill="1" applyBorder="1" applyAlignment="1">
      <alignment horizontal="justify" vertical="top" wrapText="1"/>
    </xf>
    <xf numFmtId="0" fontId="11" fillId="2" borderId="2" xfId="1" applyFont="1" applyFill="1" applyBorder="1" applyAlignment="1">
      <alignment vertical="top" wrapText="1"/>
    </xf>
    <xf numFmtId="166" fontId="11" fillId="2" borderId="2" xfId="1" applyNumberFormat="1" applyFont="1" applyFill="1" applyBorder="1" applyAlignment="1">
      <alignment horizontal="center" vertical="top" wrapText="1"/>
    </xf>
    <xf numFmtId="0" fontId="10" fillId="2" borderId="2" xfId="1" applyFont="1" applyFill="1" applyBorder="1" applyAlignment="1">
      <alignment vertical="top" wrapText="1"/>
    </xf>
    <xf numFmtId="170" fontId="10" fillId="2" borderId="2" xfId="2" applyNumberFormat="1" applyFont="1" applyFill="1" applyBorder="1" applyAlignment="1">
      <alignment horizontal="center" vertical="top" wrapText="1"/>
    </xf>
    <xf numFmtId="0" fontId="9" fillId="2" borderId="2" xfId="1" applyFont="1" applyFill="1" applyBorder="1" applyAlignment="1">
      <alignment horizontal="justify" vertical="top" wrapText="1"/>
    </xf>
    <xf numFmtId="167" fontId="9" fillId="2" borderId="2" xfId="2" applyNumberFormat="1" applyFont="1" applyFill="1" applyBorder="1" applyAlignment="1">
      <alignment horizontal="center" vertical="top" wrapText="1"/>
    </xf>
    <xf numFmtId="43" fontId="9" fillId="2" borderId="2" xfId="2" applyNumberFormat="1" applyFont="1" applyFill="1" applyBorder="1" applyAlignment="1">
      <alignment horizontal="center" vertical="top" wrapText="1"/>
    </xf>
    <xf numFmtId="168" fontId="9" fillId="2" borderId="2" xfId="2" applyNumberFormat="1" applyFont="1" applyFill="1" applyBorder="1" applyAlignment="1">
      <alignment horizontal="center" vertical="top" wrapText="1"/>
    </xf>
    <xf numFmtId="0" fontId="12" fillId="2" borderId="4" xfId="1" applyFont="1" applyFill="1" applyBorder="1" applyAlignment="1">
      <alignment vertical="top" wrapText="1"/>
    </xf>
    <xf numFmtId="43" fontId="12" fillId="2" borderId="2" xfId="2" applyNumberFormat="1" applyFont="1" applyFill="1" applyBorder="1" applyAlignment="1">
      <alignment horizontal="center" vertical="top" wrapText="1"/>
    </xf>
    <xf numFmtId="43" fontId="13" fillId="2" borderId="2" xfId="1" applyNumberFormat="1" applyFont="1" applyFill="1" applyBorder="1"/>
    <xf numFmtId="169" fontId="13" fillId="2" borderId="2" xfId="1" applyNumberFormat="1" applyFont="1" applyFill="1" applyBorder="1"/>
    <xf numFmtId="168" fontId="12" fillId="2" borderId="2" xfId="2" applyNumberFormat="1" applyFont="1" applyFill="1" applyBorder="1" applyAlignment="1">
      <alignment horizontal="center" vertical="top" wrapText="1"/>
    </xf>
    <xf numFmtId="4" fontId="9" fillId="2" borderId="2" xfId="2" applyNumberFormat="1" applyFont="1" applyFill="1" applyBorder="1" applyAlignment="1">
      <alignment horizontal="right" vertical="top" wrapText="1"/>
    </xf>
    <xf numFmtId="168" fontId="14" fillId="2" borderId="2" xfId="2" applyNumberFormat="1" applyFont="1" applyFill="1" applyBorder="1" applyAlignment="1">
      <alignment horizontal="center" vertical="top" wrapText="1"/>
    </xf>
    <xf numFmtId="43" fontId="12" fillId="2" borderId="2" xfId="2" applyNumberFormat="1" applyFont="1" applyFill="1" applyBorder="1" applyAlignment="1">
      <alignment horizontal="left" vertical="top" wrapText="1"/>
    </xf>
    <xf numFmtId="170" fontId="13" fillId="2" borderId="2" xfId="1" applyNumberFormat="1" applyFont="1" applyFill="1" applyBorder="1"/>
    <xf numFmtId="43" fontId="9" fillId="2" borderId="2" xfId="2" applyNumberFormat="1" applyFont="1" applyFill="1" applyBorder="1" applyAlignment="1">
      <alignment horizontal="left" vertical="top" wrapText="1"/>
    </xf>
    <xf numFmtId="168" fontId="14" fillId="2" borderId="2" xfId="2" applyNumberFormat="1" applyFont="1" applyFill="1" applyBorder="1" applyAlignment="1">
      <alignment horizontal="left" vertical="top" wrapText="1"/>
    </xf>
    <xf numFmtId="0" fontId="12" fillId="2" borderId="2" xfId="1" applyFont="1" applyFill="1" applyBorder="1" applyAlignment="1">
      <alignment vertical="top" wrapText="1"/>
    </xf>
    <xf numFmtId="174" fontId="12" fillId="2" borderId="2" xfId="2" applyNumberFormat="1" applyFont="1" applyFill="1" applyBorder="1" applyAlignment="1">
      <alignment horizontal="left" vertical="top" wrapText="1"/>
    </xf>
    <xf numFmtId="174" fontId="13" fillId="2" borderId="2" xfId="1" applyNumberFormat="1" applyFont="1" applyFill="1" applyBorder="1"/>
    <xf numFmtId="174" fontId="9" fillId="2" borderId="2" xfId="2" applyNumberFormat="1" applyFont="1" applyFill="1" applyBorder="1" applyAlignment="1">
      <alignment horizontal="right" vertical="top" wrapText="1"/>
    </xf>
    <xf numFmtId="168" fontId="9" fillId="2" borderId="2" xfId="2" applyNumberFormat="1" applyFont="1" applyFill="1" applyBorder="1" applyAlignment="1">
      <alignment horizontal="left" vertical="top" wrapText="1"/>
    </xf>
    <xf numFmtId="176" fontId="12" fillId="2" borderId="2" xfId="2" applyNumberFormat="1" applyFont="1" applyFill="1" applyBorder="1" applyAlignment="1">
      <alignment horizontal="left" vertical="top" wrapText="1"/>
    </xf>
    <xf numFmtId="174" fontId="12" fillId="2" borderId="2" xfId="2" applyNumberFormat="1" applyFont="1" applyFill="1" applyBorder="1" applyAlignment="1">
      <alignment horizontal="right" vertical="top" wrapText="1"/>
    </xf>
    <xf numFmtId="172" fontId="12" fillId="2" borderId="2" xfId="2" applyNumberFormat="1" applyFont="1" applyFill="1" applyBorder="1" applyAlignment="1">
      <alignment horizontal="right" vertical="top" wrapText="1"/>
    </xf>
    <xf numFmtId="176" fontId="9" fillId="2" borderId="2" xfId="2" applyNumberFormat="1" applyFont="1" applyFill="1" applyBorder="1" applyAlignment="1">
      <alignment horizontal="right" vertical="top" wrapText="1"/>
    </xf>
    <xf numFmtId="172" fontId="9" fillId="2" borderId="2" xfId="2" applyNumberFormat="1" applyFont="1" applyFill="1" applyBorder="1" applyAlignment="1">
      <alignment horizontal="center" vertical="top" wrapText="1"/>
    </xf>
    <xf numFmtId="171" fontId="9" fillId="2" borderId="2" xfId="2" applyNumberFormat="1" applyFont="1" applyFill="1" applyBorder="1" applyAlignment="1">
      <alignment horizontal="center" vertical="top" wrapText="1"/>
    </xf>
    <xf numFmtId="172" fontId="12" fillId="2" borderId="2" xfId="2" applyNumberFormat="1" applyFont="1" applyFill="1" applyBorder="1" applyAlignment="1">
      <alignment horizontal="center" vertical="top" wrapText="1"/>
    </xf>
    <xf numFmtId="173" fontId="12" fillId="2" borderId="2" xfId="2" applyNumberFormat="1" applyFont="1" applyFill="1" applyBorder="1" applyAlignment="1">
      <alignment horizontal="center" vertical="top" wrapText="1"/>
    </xf>
    <xf numFmtId="177" fontId="12" fillId="2" borderId="2" xfId="2" applyNumberFormat="1" applyFont="1" applyFill="1" applyBorder="1" applyAlignment="1">
      <alignment horizontal="center" vertical="top" wrapText="1"/>
    </xf>
    <xf numFmtId="174" fontId="12" fillId="2" borderId="2" xfId="2" applyNumberFormat="1" applyFont="1" applyFill="1" applyBorder="1" applyAlignment="1">
      <alignment horizontal="center" vertical="top" wrapText="1"/>
    </xf>
    <xf numFmtId="177" fontId="9" fillId="2" borderId="2" xfId="2" applyNumberFormat="1" applyFont="1" applyFill="1" applyBorder="1" applyAlignment="1">
      <alignment horizontal="center" vertical="top" wrapText="1"/>
    </xf>
    <xf numFmtId="175" fontId="9" fillId="2" borderId="2" xfId="2" applyNumberFormat="1" applyFont="1" applyFill="1" applyBorder="1" applyAlignment="1">
      <alignment horizontal="center" vertical="top" wrapText="1"/>
    </xf>
    <xf numFmtId="174" fontId="9" fillId="2" borderId="2" xfId="2" applyNumberFormat="1" applyFont="1" applyFill="1" applyBorder="1" applyAlignment="1">
      <alignment horizontal="center" vertical="top" wrapText="1"/>
    </xf>
    <xf numFmtId="43" fontId="14" fillId="2" borderId="2" xfId="2" applyNumberFormat="1" applyFont="1" applyFill="1" applyBorder="1" applyAlignment="1">
      <alignment horizontal="center" vertical="top" wrapText="1"/>
    </xf>
    <xf numFmtId="167" fontId="12" fillId="2" borderId="2" xfId="2" applyNumberFormat="1" applyFont="1" applyFill="1" applyBorder="1" applyAlignment="1">
      <alignment horizontal="center" vertical="top" wrapText="1"/>
    </xf>
    <xf numFmtId="0" fontId="9" fillId="2" borderId="2" xfId="1" applyFont="1" applyFill="1" applyBorder="1" applyAlignment="1">
      <alignment wrapText="1"/>
    </xf>
    <xf numFmtId="171" fontId="9" fillId="2" borderId="2" xfId="2" applyNumberFormat="1" applyFont="1" applyFill="1" applyBorder="1" applyAlignment="1">
      <alignment horizontal="left" vertical="top" wrapText="1"/>
    </xf>
    <xf numFmtId="0" fontId="5" fillId="2" borderId="0" xfId="0" applyFont="1" applyFill="1" applyAlignment="1">
      <alignment wrapText="1"/>
    </xf>
    <xf numFmtId="171" fontId="12" fillId="2" borderId="2" xfId="2" applyNumberFormat="1" applyFont="1" applyFill="1" applyBorder="1" applyAlignment="1">
      <alignment horizontal="left" vertical="top" wrapText="1"/>
    </xf>
    <xf numFmtId="181" fontId="12" fillId="2" borderId="2" xfId="2" applyNumberFormat="1" applyFont="1" applyFill="1" applyBorder="1" applyAlignment="1">
      <alignment horizontal="left" vertical="top" wrapText="1"/>
    </xf>
    <xf numFmtId="0" fontId="5" fillId="2" borderId="0" xfId="0" applyFont="1" applyFill="1" applyAlignment="1">
      <alignment vertical="center"/>
    </xf>
    <xf numFmtId="176" fontId="9" fillId="2" borderId="2" xfId="2" applyNumberFormat="1" applyFont="1" applyFill="1" applyBorder="1" applyAlignment="1">
      <alignment horizontal="left" vertical="top" wrapText="1"/>
    </xf>
    <xf numFmtId="0" fontId="9" fillId="2" borderId="4" xfId="1" applyFont="1" applyFill="1" applyBorder="1" applyAlignment="1">
      <alignment horizontal="center" vertical="top" wrapText="1"/>
    </xf>
    <xf numFmtId="0" fontId="9" fillId="2" borderId="3" xfId="1" applyFont="1" applyFill="1" applyBorder="1" applyAlignment="1">
      <alignment horizontal="justify" vertical="top" wrapText="1"/>
    </xf>
    <xf numFmtId="0" fontId="9" fillId="2" borderId="3" xfId="1" applyFont="1" applyFill="1" applyBorder="1" applyAlignment="1">
      <alignment vertical="top" wrapText="1"/>
    </xf>
    <xf numFmtId="0" fontId="9" fillId="2" borderId="2" xfId="1" applyFont="1" applyFill="1" applyBorder="1" applyAlignment="1">
      <alignment horizontal="left" vertical="top" wrapText="1"/>
    </xf>
    <xf numFmtId="0" fontId="9" fillId="2" borderId="3" xfId="1" applyFont="1" applyFill="1" applyBorder="1" applyAlignment="1">
      <alignment horizontal="left" vertical="top" wrapText="1"/>
    </xf>
    <xf numFmtId="0" fontId="9" fillId="2" borderId="3" xfId="1" applyFont="1" applyFill="1" applyBorder="1" applyAlignment="1">
      <alignment horizontal="center" vertical="top" wrapText="1"/>
    </xf>
    <xf numFmtId="171" fontId="9" fillId="3" borderId="2" xfId="2" applyNumberFormat="1" applyFont="1" applyFill="1" applyBorder="1" applyAlignment="1">
      <alignment horizontal="left" vertical="top" wrapText="1"/>
    </xf>
    <xf numFmtId="43" fontId="9" fillId="3" borderId="2" xfId="2" applyNumberFormat="1" applyFont="1" applyFill="1" applyBorder="1" applyAlignment="1">
      <alignment horizontal="left" vertical="top" wrapText="1"/>
    </xf>
    <xf numFmtId="171" fontId="10" fillId="2" borderId="2" xfId="2" applyNumberFormat="1" applyFont="1" applyFill="1" applyBorder="1" applyAlignment="1">
      <alignment horizontal="center" vertical="top" wrapText="1"/>
    </xf>
    <xf numFmtId="176" fontId="10" fillId="2" borderId="2" xfId="1" applyNumberFormat="1" applyFont="1" applyFill="1" applyBorder="1" applyAlignment="1">
      <alignment horizontal="center" vertical="top" wrapText="1"/>
    </xf>
    <xf numFmtId="171" fontId="10" fillId="2" borderId="2" xfId="1" applyNumberFormat="1" applyFont="1" applyFill="1" applyBorder="1" applyAlignment="1">
      <alignment horizontal="center" vertical="top" wrapText="1"/>
    </xf>
    <xf numFmtId="43" fontId="10" fillId="2" borderId="2" xfId="1" applyNumberFormat="1" applyFont="1" applyFill="1" applyBorder="1" applyAlignment="1">
      <alignment horizontal="center" vertical="top" wrapText="1"/>
    </xf>
    <xf numFmtId="43" fontId="10" fillId="2" borderId="2" xfId="2" applyNumberFormat="1" applyFont="1" applyFill="1" applyBorder="1" applyAlignment="1">
      <alignment horizontal="center" vertical="top" wrapText="1"/>
    </xf>
    <xf numFmtId="0" fontId="13" fillId="2" borderId="2" xfId="1" applyFont="1" applyFill="1" applyBorder="1"/>
    <xf numFmtId="171" fontId="12" fillId="2" borderId="2" xfId="2" applyNumberFormat="1" applyFont="1" applyFill="1" applyBorder="1" applyAlignment="1">
      <alignment horizontal="center" vertical="center" wrapText="1"/>
    </xf>
    <xf numFmtId="171" fontId="13" fillId="2" borderId="2" xfId="1" applyNumberFormat="1" applyFont="1" applyFill="1" applyBorder="1" applyAlignment="1">
      <alignment vertical="center"/>
    </xf>
    <xf numFmtId="43" fontId="13" fillId="2" borderId="2" xfId="1" applyNumberFormat="1" applyFont="1" applyFill="1" applyBorder="1" applyAlignment="1">
      <alignment vertical="center"/>
    </xf>
    <xf numFmtId="171" fontId="9" fillId="2" borderId="2" xfId="1" applyNumberFormat="1" applyFont="1" applyFill="1" applyBorder="1" applyAlignment="1">
      <alignment horizontal="center" vertical="top" wrapText="1"/>
    </xf>
    <xf numFmtId="0" fontId="11" fillId="2" borderId="5" xfId="1" applyFont="1" applyFill="1" applyBorder="1" applyAlignment="1">
      <alignment horizontal="center" vertical="top" wrapText="1"/>
    </xf>
    <xf numFmtId="0" fontId="9" fillId="2" borderId="5" xfId="1" applyFont="1" applyFill="1" applyBorder="1" applyAlignment="1">
      <alignment horizontal="left" vertical="top" wrapText="1"/>
    </xf>
    <xf numFmtId="43" fontId="9" fillId="2" borderId="2" xfId="1" applyNumberFormat="1" applyFont="1" applyFill="1" applyBorder="1" applyAlignment="1">
      <alignment horizontal="center" vertical="top" wrapText="1"/>
    </xf>
    <xf numFmtId="43" fontId="9" fillId="2" borderId="2" xfId="2" applyNumberFormat="1" applyFont="1" applyFill="1" applyBorder="1" applyAlignment="1">
      <alignment horizontal="right" vertical="top" wrapText="1"/>
    </xf>
    <xf numFmtId="171" fontId="9" fillId="2" borderId="2" xfId="2" applyNumberFormat="1" applyFont="1" applyFill="1" applyBorder="1" applyAlignment="1">
      <alignment horizontal="right" vertical="top" wrapText="1"/>
    </xf>
    <xf numFmtId="0" fontId="9" fillId="2" borderId="2" xfId="0" applyFont="1" applyFill="1" applyBorder="1" applyAlignment="1">
      <alignment horizontal="left" vertical="top" wrapText="1"/>
    </xf>
    <xf numFmtId="2" fontId="9" fillId="2" borderId="2" xfId="0" applyNumberFormat="1" applyFont="1" applyFill="1" applyBorder="1" applyAlignment="1">
      <alignment wrapText="1"/>
    </xf>
    <xf numFmtId="0" fontId="15" fillId="2" borderId="2" xfId="0" applyFont="1" applyFill="1" applyBorder="1" applyAlignment="1">
      <alignment wrapText="1"/>
    </xf>
    <xf numFmtId="0" fontId="11" fillId="2" borderId="2" xfId="1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wrapText="1"/>
    </xf>
    <xf numFmtId="171" fontId="9" fillId="2" borderId="2" xfId="1" applyNumberFormat="1" applyFont="1" applyFill="1" applyBorder="1" applyAlignment="1">
      <alignment horizontal="right" vertical="top" wrapText="1"/>
    </xf>
    <xf numFmtId="43" fontId="9" fillId="3" borderId="2" xfId="2" applyNumberFormat="1" applyFont="1" applyFill="1" applyBorder="1" applyAlignment="1">
      <alignment horizontal="center" vertical="top" wrapText="1"/>
    </xf>
    <xf numFmtId="168" fontId="10" fillId="2" borderId="2" xfId="1" applyNumberFormat="1" applyFont="1" applyFill="1" applyBorder="1" applyAlignment="1">
      <alignment horizontal="center" vertical="top" wrapText="1"/>
    </xf>
    <xf numFmtId="168" fontId="9" fillId="3" borderId="2" xfId="2" applyNumberFormat="1" applyFont="1" applyFill="1" applyBorder="1" applyAlignment="1">
      <alignment horizontal="center" vertical="top" wrapText="1"/>
    </xf>
    <xf numFmtId="0" fontId="6" fillId="2" borderId="2" xfId="1" applyFont="1" applyFill="1" applyBorder="1"/>
    <xf numFmtId="0" fontId="16" fillId="2" borderId="0" xfId="1" applyFont="1" applyFill="1"/>
    <xf numFmtId="183" fontId="9" fillId="2" borderId="2" xfId="2" applyNumberFormat="1" applyFont="1" applyFill="1" applyBorder="1" applyAlignment="1">
      <alignment horizontal="left" vertical="top" wrapText="1"/>
    </xf>
    <xf numFmtId="183" fontId="9" fillId="3" borderId="2" xfId="2" applyNumberFormat="1" applyFont="1" applyFill="1" applyBorder="1" applyAlignment="1">
      <alignment horizontal="left" vertical="top" wrapText="1"/>
    </xf>
    <xf numFmtId="184" fontId="10" fillId="2" borderId="2" xfId="2" applyNumberFormat="1" applyFont="1" applyFill="1" applyBorder="1" applyAlignment="1">
      <alignment horizontal="center" vertical="top" wrapText="1"/>
    </xf>
    <xf numFmtId="184" fontId="9" fillId="2" borderId="2" xfId="2" applyNumberFormat="1" applyFont="1" applyFill="1" applyBorder="1" applyAlignment="1">
      <alignment horizontal="center" vertical="top" wrapText="1"/>
    </xf>
    <xf numFmtId="0" fontId="9" fillId="2" borderId="2" xfId="1" applyFont="1" applyFill="1" applyBorder="1" applyAlignment="1">
      <alignment horizontal="justify" vertical="top" wrapText="1"/>
    </xf>
    <xf numFmtId="0" fontId="10" fillId="2" borderId="2" xfId="1" applyFont="1" applyFill="1" applyBorder="1" applyAlignment="1">
      <alignment horizontal="justify" vertical="top" wrapText="1"/>
    </xf>
    <xf numFmtId="0" fontId="10" fillId="2" borderId="2" xfId="1" applyFont="1" applyFill="1" applyBorder="1" applyAlignment="1">
      <alignment vertical="top" wrapText="1"/>
    </xf>
    <xf numFmtId="0" fontId="9" fillId="2" borderId="3" xfId="1" applyFont="1" applyFill="1" applyBorder="1" applyAlignment="1">
      <alignment horizontal="center" vertical="top" wrapText="1"/>
    </xf>
    <xf numFmtId="0" fontId="9" fillId="2" borderId="4" xfId="1" applyFont="1" applyFill="1" applyBorder="1" applyAlignment="1">
      <alignment horizontal="center" vertical="top" wrapText="1"/>
    </xf>
    <xf numFmtId="0" fontId="9" fillId="2" borderId="5" xfId="1" applyFont="1" applyFill="1" applyBorder="1" applyAlignment="1">
      <alignment horizontal="center" vertical="top" wrapText="1"/>
    </xf>
    <xf numFmtId="0" fontId="9" fillId="2" borderId="3" xfId="1" applyFont="1" applyFill="1" applyBorder="1" applyAlignment="1">
      <alignment horizontal="left" vertical="top" wrapText="1"/>
    </xf>
    <xf numFmtId="0" fontId="9" fillId="2" borderId="4" xfId="1" applyFont="1" applyFill="1" applyBorder="1" applyAlignment="1">
      <alignment horizontal="left" vertical="top" wrapText="1"/>
    </xf>
    <xf numFmtId="0" fontId="9" fillId="2" borderId="5" xfId="1" applyFont="1" applyFill="1" applyBorder="1" applyAlignment="1">
      <alignment horizontal="left" vertical="top" wrapText="1"/>
    </xf>
    <xf numFmtId="0" fontId="11" fillId="2" borderId="3" xfId="1" applyFont="1" applyFill="1" applyBorder="1" applyAlignment="1">
      <alignment horizontal="center" vertical="top" wrapText="1"/>
    </xf>
    <xf numFmtId="0" fontId="11" fillId="2" borderId="4" xfId="1" applyFont="1" applyFill="1" applyBorder="1" applyAlignment="1">
      <alignment horizontal="center" vertical="top" wrapText="1"/>
    </xf>
    <xf numFmtId="0" fontId="11" fillId="2" borderId="5" xfId="1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wrapText="1"/>
    </xf>
    <xf numFmtId="0" fontId="10" fillId="2" borderId="3" xfId="1" applyFont="1" applyFill="1" applyBorder="1" applyAlignment="1">
      <alignment horizontal="center" vertical="top" wrapText="1"/>
    </xf>
    <xf numFmtId="0" fontId="10" fillId="2" borderId="4" xfId="1" applyFont="1" applyFill="1" applyBorder="1" applyAlignment="1">
      <alignment horizontal="center" vertical="top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3" xfId="1" applyFont="1" applyFill="1" applyBorder="1" applyAlignment="1">
      <alignment horizontal="left" vertical="top" wrapText="1"/>
    </xf>
    <xf numFmtId="0" fontId="10" fillId="2" borderId="4" xfId="1" applyFont="1" applyFill="1" applyBorder="1" applyAlignment="1">
      <alignment horizontal="left" vertical="top" wrapText="1"/>
    </xf>
    <xf numFmtId="0" fontId="10" fillId="2" borderId="5" xfId="1" applyFont="1" applyFill="1" applyBorder="1" applyAlignment="1">
      <alignment horizontal="left" vertical="top" wrapText="1"/>
    </xf>
    <xf numFmtId="0" fontId="9" fillId="2" borderId="2" xfId="1" applyFont="1" applyFill="1" applyBorder="1" applyAlignment="1">
      <alignment horizontal="center" vertical="top" wrapText="1"/>
    </xf>
    <xf numFmtId="0" fontId="6" fillId="2" borderId="0" xfId="1" applyFont="1" applyFill="1" applyAlignment="1">
      <alignment horizontal="left" vertical="top" wrapText="1"/>
    </xf>
    <xf numFmtId="0" fontId="7" fillId="2" borderId="0" xfId="1" applyFont="1" applyFill="1" applyBorder="1" applyAlignment="1">
      <alignment horizontal="left" vertical="top" wrapText="1"/>
    </xf>
    <xf numFmtId="0" fontId="8" fillId="2" borderId="1" xfId="1" applyFont="1" applyFill="1" applyBorder="1" applyAlignment="1">
      <alignment horizontal="center" vertical="top" wrapText="1"/>
    </xf>
    <xf numFmtId="0" fontId="9" fillId="2" borderId="6" xfId="1" applyFont="1" applyFill="1" applyBorder="1" applyAlignment="1">
      <alignment horizontal="center" vertical="top" wrapText="1"/>
    </xf>
    <xf numFmtId="0" fontId="9" fillId="2" borderId="7" xfId="1" applyFont="1" applyFill="1" applyBorder="1" applyAlignment="1">
      <alignment horizontal="center" vertical="top" wrapText="1"/>
    </xf>
    <xf numFmtId="0" fontId="9" fillId="2" borderId="8" xfId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1"/>
  <sheetViews>
    <sheetView tabSelected="1"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I2" sqref="I2:K2"/>
    </sheetView>
  </sheetViews>
  <sheetFormatPr defaultRowHeight="15" x14ac:dyDescent="0.25"/>
  <cols>
    <col min="1" max="1" width="4" style="5" customWidth="1"/>
    <col min="2" max="2" width="21.140625" style="5" customWidth="1"/>
    <col min="3" max="3" width="69.140625" style="5" customWidth="1"/>
    <col min="4" max="4" width="19.140625" style="5" customWidth="1"/>
    <col min="5" max="5" width="18.140625" style="5" customWidth="1"/>
    <col min="6" max="6" width="17.42578125" style="5" customWidth="1"/>
    <col min="7" max="7" width="18.85546875" style="5" customWidth="1"/>
    <col min="8" max="8" width="18.5703125" style="5" customWidth="1"/>
    <col min="9" max="11" width="18.140625" style="5" customWidth="1"/>
    <col min="12" max="12" width="21.140625" style="5" customWidth="1"/>
    <col min="13" max="16384" width="9.140625" style="5"/>
  </cols>
  <sheetData>
    <row r="1" spans="1:11" ht="40.5" customHeight="1" x14ac:dyDescent="0.25">
      <c r="A1" s="4"/>
      <c r="B1" s="4"/>
      <c r="C1" s="4"/>
      <c r="D1" s="4"/>
      <c r="E1" s="4"/>
      <c r="G1" s="6"/>
      <c r="H1" s="6"/>
      <c r="I1" s="124" t="s">
        <v>109</v>
      </c>
      <c r="J1" s="124"/>
      <c r="K1" s="124"/>
    </row>
    <row r="2" spans="1:11" ht="98.25" customHeight="1" x14ac:dyDescent="0.25">
      <c r="A2" s="4"/>
      <c r="B2" s="4"/>
      <c r="C2" s="4"/>
      <c r="D2" s="4"/>
      <c r="E2" s="4"/>
      <c r="G2" s="7"/>
      <c r="H2" s="7"/>
      <c r="I2" s="125" t="s">
        <v>91</v>
      </c>
      <c r="J2" s="125"/>
      <c r="K2" s="125"/>
    </row>
    <row r="3" spans="1:11" ht="16.5" x14ac:dyDescent="0.25">
      <c r="A3" s="126" t="s">
        <v>92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x14ac:dyDescent="0.25">
      <c r="A4" s="123" t="s">
        <v>0</v>
      </c>
      <c r="B4" s="123"/>
      <c r="C4" s="123"/>
      <c r="D4" s="127" t="s">
        <v>1</v>
      </c>
      <c r="E4" s="128"/>
      <c r="F4" s="128"/>
      <c r="G4" s="128"/>
      <c r="H4" s="128"/>
      <c r="I4" s="128"/>
      <c r="J4" s="128"/>
      <c r="K4" s="129"/>
    </row>
    <row r="5" spans="1:11" x14ac:dyDescent="0.25">
      <c r="A5" s="104" t="s">
        <v>2</v>
      </c>
      <c r="B5" s="123" t="s">
        <v>3</v>
      </c>
      <c r="C5" s="123" t="s">
        <v>4</v>
      </c>
      <c r="D5" s="123" t="s">
        <v>5</v>
      </c>
      <c r="E5" s="127" t="s">
        <v>6</v>
      </c>
      <c r="F5" s="128"/>
      <c r="G5" s="128"/>
      <c r="H5" s="128"/>
      <c r="I5" s="128"/>
      <c r="J5" s="128"/>
      <c r="K5" s="129"/>
    </row>
    <row r="6" spans="1:11" x14ac:dyDescent="0.25">
      <c r="A6" s="104"/>
      <c r="B6" s="123"/>
      <c r="C6" s="123"/>
      <c r="D6" s="123"/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87</v>
      </c>
      <c r="K6" s="8" t="s">
        <v>88</v>
      </c>
    </row>
    <row r="7" spans="1:11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x14ac:dyDescent="0.25">
      <c r="A8" s="105"/>
      <c r="B8" s="106" t="s">
        <v>12</v>
      </c>
      <c r="C8" s="106" t="s">
        <v>93</v>
      </c>
      <c r="D8" s="9" t="s">
        <v>7</v>
      </c>
      <c r="E8" s="10">
        <f>SUM(F8:K8)</f>
        <v>4908412.7309499998</v>
      </c>
      <c r="F8" s="10">
        <f>F9+F10+F11</f>
        <v>652988.75286999997</v>
      </c>
      <c r="G8" s="10">
        <f>G9+G10+G11</f>
        <v>874337.56068</v>
      </c>
      <c r="H8" s="102">
        <f>H9+H10+H11</f>
        <v>952759.92585999996</v>
      </c>
      <c r="I8" s="12">
        <f>I9+I10+I11</f>
        <v>1104817</v>
      </c>
      <c r="J8" s="11">
        <f t="shared" ref="J8:K8" si="0">J9+J10+J11</f>
        <v>152148.29999999999</v>
      </c>
      <c r="K8" s="13">
        <f t="shared" si="0"/>
        <v>1171361.19154</v>
      </c>
    </row>
    <row r="9" spans="1:11" ht="30" x14ac:dyDescent="0.25">
      <c r="A9" s="105"/>
      <c r="B9" s="106"/>
      <c r="C9" s="106"/>
      <c r="D9" s="14" t="s">
        <v>13</v>
      </c>
      <c r="E9" s="15">
        <f>SUM(F9:K9)</f>
        <v>3439063.4149599997</v>
      </c>
      <c r="F9" s="15">
        <f t="shared" ref="F9:K9" si="1">F14+F93+F121</f>
        <v>416387.87775000004</v>
      </c>
      <c r="G9" s="15">
        <f t="shared" si="1"/>
        <v>303558.19481000002</v>
      </c>
      <c r="H9" s="103">
        <f t="shared" si="1"/>
        <v>409072.65085999994</v>
      </c>
      <c r="I9" s="16">
        <f t="shared" si="1"/>
        <v>1045676.1</v>
      </c>
      <c r="J9" s="17">
        <f t="shared" si="1"/>
        <v>93007.4</v>
      </c>
      <c r="K9" s="18">
        <f t="shared" si="1"/>
        <v>1171361.19154</v>
      </c>
    </row>
    <row r="10" spans="1:11" ht="45" x14ac:dyDescent="0.25">
      <c r="A10" s="105"/>
      <c r="B10" s="106"/>
      <c r="C10" s="106"/>
      <c r="D10" s="14" t="s">
        <v>14</v>
      </c>
      <c r="E10" s="15">
        <f t="shared" ref="E10:E11" si="2">SUM(F10:K10)</f>
        <v>877931.11599000008</v>
      </c>
      <c r="F10" s="15">
        <f t="shared" ref="F10:K11" si="3">F15+F94</f>
        <v>156206.87511999998</v>
      </c>
      <c r="G10" s="18">
        <f t="shared" si="3"/>
        <v>200754.36587000001</v>
      </c>
      <c r="H10" s="103">
        <f t="shared" si="3"/>
        <v>458887.27500000002</v>
      </c>
      <c r="I10" s="16">
        <f t="shared" si="3"/>
        <v>31041.3</v>
      </c>
      <c r="J10" s="16">
        <f t="shared" si="3"/>
        <v>31041.3</v>
      </c>
      <c r="K10" s="16">
        <f t="shared" si="3"/>
        <v>0</v>
      </c>
    </row>
    <row r="11" spans="1:11" ht="30" x14ac:dyDescent="0.25">
      <c r="A11" s="105"/>
      <c r="B11" s="106"/>
      <c r="C11" s="106"/>
      <c r="D11" s="14" t="s">
        <v>15</v>
      </c>
      <c r="E11" s="16">
        <f t="shared" si="2"/>
        <v>591418.19999999995</v>
      </c>
      <c r="F11" s="16">
        <f t="shared" si="3"/>
        <v>80394</v>
      </c>
      <c r="G11" s="16">
        <f t="shared" si="3"/>
        <v>370025</v>
      </c>
      <c r="H11" s="16">
        <f t="shared" si="3"/>
        <v>84800</v>
      </c>
      <c r="I11" s="16">
        <f t="shared" si="3"/>
        <v>28099.599999999999</v>
      </c>
      <c r="J11" s="16">
        <f t="shared" si="3"/>
        <v>28099.599999999999</v>
      </c>
      <c r="K11" s="16">
        <f t="shared" si="3"/>
        <v>0</v>
      </c>
    </row>
    <row r="12" spans="1:11" x14ac:dyDescent="0.25">
      <c r="A12" s="19"/>
      <c r="B12" s="20"/>
      <c r="C12" s="19"/>
      <c r="D12" s="19"/>
      <c r="E12" s="21"/>
      <c r="F12" s="21"/>
      <c r="G12" s="21"/>
      <c r="H12" s="21"/>
      <c r="I12" s="21"/>
      <c r="J12" s="21"/>
      <c r="K12" s="21"/>
    </row>
    <row r="13" spans="1:11" x14ac:dyDescent="0.25">
      <c r="A13" s="104"/>
      <c r="B13" s="106" t="s">
        <v>16</v>
      </c>
      <c r="C13" s="106" t="s">
        <v>17</v>
      </c>
      <c r="D13" s="9" t="s">
        <v>7</v>
      </c>
      <c r="E13" s="10">
        <f>SUM(F13:K13)</f>
        <v>3506679.71795</v>
      </c>
      <c r="F13" s="10">
        <f>F14+F15+F16</f>
        <v>470342.42887</v>
      </c>
      <c r="G13" s="10">
        <f>G14+G15+G16</f>
        <v>802540.83868000004</v>
      </c>
      <c r="H13" s="10">
        <f>H14+H15+H16</f>
        <v>873731.2358599999</v>
      </c>
      <c r="I13" s="12">
        <f>I14+I15+I16</f>
        <v>954146.1</v>
      </c>
      <c r="J13" s="11">
        <f t="shared" ref="J13:K13" si="4">J14+J15+J16</f>
        <v>120061.20000000001</v>
      </c>
      <c r="K13" s="13">
        <f t="shared" si="4"/>
        <v>285857.91453999997</v>
      </c>
    </row>
    <row r="14" spans="1:11" ht="28.5" x14ac:dyDescent="0.25">
      <c r="A14" s="104"/>
      <c r="B14" s="106"/>
      <c r="C14" s="106"/>
      <c r="D14" s="22" t="s">
        <v>13</v>
      </c>
      <c r="E14" s="10">
        <f>SUM(F14:K14)</f>
        <v>2061787.4659599999</v>
      </c>
      <c r="F14" s="10">
        <f>F17+F18+F20+F24+F26+F27+F28+F30+F31+F32+F34+F37+F40+F42+F43+F47+F48+F49+F52+F53+F54+F55+F56+F57+F58+F59+F60+F65+F66+F67+F69+F71+F73+F80+F78+F85</f>
        <v>258198.61775000003</v>
      </c>
      <c r="G14" s="10">
        <f>G17+G18+G20+G24+G26+G27+G28+G30+G31+G32+G34+G37+G40+G42+G43+G47+G48+G49+G52+G53+G54+G55+G56+G57+G58+G59+G65+G66+G67+G69+G71+G73+G79+G80+G81+G61+G78</f>
        <v>231761.47280999998</v>
      </c>
      <c r="H14" s="11">
        <f>H17+H18+H20+H24+H26+H27+H28+H30+H31+H32+H34+H37+H40+H42+H43+H47+H48+H51+H52+H53+H54+H55+H56+H57+H58+H59+H65+H66+H67+H69+H71+H73+H79+H80+H81+H61+H78+H82+H83+H84+H85+H86+H87+H89+H88+H90+H91</f>
        <v>330043.96085999993</v>
      </c>
      <c r="I14" s="11">
        <f t="shared" ref="I14:K14" si="5">I17+I18+I20+I24+I26+I27+I28+I30+I31+I32+I34+I37+I40+I42+I43+I47+I48+I51+I52+I53+I54+I55+I56+I57+I58+I59+I65+I66+I67+I69+I71+I73+I79+I80+I81+I61+I78+I82+I83+I84+I85+I86+I87+I89+I88+I90+I91</f>
        <v>895005.2</v>
      </c>
      <c r="J14" s="11">
        <f t="shared" si="5"/>
        <v>60920.3</v>
      </c>
      <c r="K14" s="11">
        <f t="shared" si="5"/>
        <v>285857.91453999997</v>
      </c>
    </row>
    <row r="15" spans="1:11" ht="42.75" x14ac:dyDescent="0.25">
      <c r="A15" s="104"/>
      <c r="B15" s="106"/>
      <c r="C15" s="106"/>
      <c r="D15" s="22" t="s">
        <v>14</v>
      </c>
      <c r="E15" s="10">
        <f>SUM(F15:K15)</f>
        <v>870474.05199000007</v>
      </c>
      <c r="F15" s="10">
        <f>F21+F35+F38+F45</f>
        <v>148749.81111999997</v>
      </c>
      <c r="G15" s="13">
        <f>G21+G35+G38+G45+G70+G63+G41</f>
        <v>200754.36587000001</v>
      </c>
      <c r="H15" s="23">
        <f>H41+H45+H70+H63+H76+H50</f>
        <v>458887.27500000002</v>
      </c>
      <c r="I15" s="12">
        <f>I21+I35+I38+I45+I70+I76</f>
        <v>31041.3</v>
      </c>
      <c r="J15" s="12">
        <f t="shared" ref="J15:K15" si="6">J21+J35+J38+J45+J70</f>
        <v>31041.3</v>
      </c>
      <c r="K15" s="12">
        <f t="shared" si="6"/>
        <v>0</v>
      </c>
    </row>
    <row r="16" spans="1:11" ht="28.5" x14ac:dyDescent="0.25">
      <c r="A16" s="104"/>
      <c r="B16" s="106"/>
      <c r="C16" s="106"/>
      <c r="D16" s="22" t="s">
        <v>15</v>
      </c>
      <c r="E16" s="11">
        <f>SUM(F16:K16)</f>
        <v>574418.19999999995</v>
      </c>
      <c r="F16" s="12">
        <f>F46+F22+F25+F74</f>
        <v>63394</v>
      </c>
      <c r="G16" s="12">
        <f>G46+G22+G25+G74+G64</f>
        <v>370025</v>
      </c>
      <c r="H16" s="11">
        <f>H46+H22+H25+H74+H64+H77</f>
        <v>84800</v>
      </c>
      <c r="I16" s="12">
        <f>I46+I22+I25+I74+I77</f>
        <v>28099.599999999999</v>
      </c>
      <c r="J16" s="12">
        <f t="shared" ref="J16:K16" si="7">J46+J22+J25+J74</f>
        <v>28099.599999999999</v>
      </c>
      <c r="K16" s="12">
        <f t="shared" si="7"/>
        <v>0</v>
      </c>
    </row>
    <row r="17" spans="1:11" ht="30" x14ac:dyDescent="0.25">
      <c r="A17" s="24"/>
      <c r="B17" s="14"/>
      <c r="C17" s="14" t="s">
        <v>18</v>
      </c>
      <c r="D17" s="14" t="s">
        <v>19</v>
      </c>
      <c r="E17" s="25">
        <f t="shared" ref="E17:E109" si="8">SUM(F17:I17)</f>
        <v>6235.74</v>
      </c>
      <c r="F17" s="26">
        <f>20689.8-14419.8-34.26</f>
        <v>6235.74</v>
      </c>
      <c r="G17" s="27">
        <v>0</v>
      </c>
      <c r="H17" s="27">
        <v>0</v>
      </c>
      <c r="I17" s="27">
        <v>0</v>
      </c>
      <c r="J17" s="27"/>
      <c r="K17" s="27"/>
    </row>
    <row r="18" spans="1:11" ht="30" x14ac:dyDescent="0.25">
      <c r="A18" s="24"/>
      <c r="B18" s="14"/>
      <c r="C18" s="14" t="s">
        <v>20</v>
      </c>
      <c r="D18" s="14" t="s">
        <v>19</v>
      </c>
      <c r="E18" s="25">
        <f t="shared" si="8"/>
        <v>2966.94</v>
      </c>
      <c r="F18" s="26">
        <f>3000-33.06</f>
        <v>2966.94</v>
      </c>
      <c r="G18" s="27">
        <v>0</v>
      </c>
      <c r="H18" s="27">
        <v>0</v>
      </c>
      <c r="I18" s="27">
        <v>0</v>
      </c>
      <c r="J18" s="27"/>
      <c r="K18" s="27"/>
    </row>
    <row r="19" spans="1:11" x14ac:dyDescent="0.25">
      <c r="A19" s="107"/>
      <c r="B19" s="107"/>
      <c r="C19" s="110" t="s">
        <v>96</v>
      </c>
      <c r="D19" s="28" t="s">
        <v>21</v>
      </c>
      <c r="E19" s="29">
        <f t="shared" ref="E19:E24" si="9">SUM(F19:K19)</f>
        <v>231565.15</v>
      </c>
      <c r="F19" s="30">
        <f>F20+F22+F21</f>
        <v>52440.049999999996</v>
      </c>
      <c r="G19" s="30">
        <f>G20+G22+G21</f>
        <v>133317.20000000001</v>
      </c>
      <c r="H19" s="30">
        <f>H20+H22+H21</f>
        <v>45807.899999999994</v>
      </c>
      <c r="I19" s="31">
        <f>I20+I22</f>
        <v>0</v>
      </c>
      <c r="J19" s="31">
        <f t="shared" ref="J19:K19" si="10">J20+J22</f>
        <v>0</v>
      </c>
      <c r="K19" s="31">
        <f t="shared" si="10"/>
        <v>0</v>
      </c>
    </row>
    <row r="20" spans="1:11" ht="30" x14ac:dyDescent="0.25">
      <c r="A20" s="108"/>
      <c r="B20" s="108"/>
      <c r="C20" s="111"/>
      <c r="D20" s="14" t="s">
        <v>19</v>
      </c>
      <c r="E20" s="26">
        <f t="shared" si="9"/>
        <v>137419.04999999999</v>
      </c>
      <c r="F20" s="26">
        <f>3000+1000+2000+2000+2000+12440.05-4146.1</f>
        <v>18293.949999999997</v>
      </c>
      <c r="G20" s="27">
        <v>73317.2</v>
      </c>
      <c r="H20" s="26">
        <f>65739.4-20231.6+360.2-60.1</f>
        <v>45807.899999999994</v>
      </c>
      <c r="I20" s="27"/>
      <c r="J20" s="27"/>
      <c r="K20" s="27"/>
    </row>
    <row r="21" spans="1:11" ht="45" x14ac:dyDescent="0.25">
      <c r="A21" s="108"/>
      <c r="B21" s="108"/>
      <c r="C21" s="111"/>
      <c r="D21" s="14" t="s">
        <v>14</v>
      </c>
      <c r="E21" s="26">
        <f t="shared" si="9"/>
        <v>10000</v>
      </c>
      <c r="F21" s="26">
        <v>10000</v>
      </c>
      <c r="G21" s="27">
        <v>0</v>
      </c>
      <c r="H21" s="27">
        <v>0</v>
      </c>
      <c r="I21" s="27">
        <v>0</v>
      </c>
      <c r="J21" s="27"/>
      <c r="K21" s="27"/>
    </row>
    <row r="22" spans="1:11" ht="30" x14ac:dyDescent="0.25">
      <c r="A22" s="109"/>
      <c r="B22" s="109"/>
      <c r="C22" s="112"/>
      <c r="D22" s="14" t="s">
        <v>15</v>
      </c>
      <c r="E22" s="27">
        <f t="shared" si="9"/>
        <v>84146.1</v>
      </c>
      <c r="F22" s="27">
        <f>20000+4146.1</f>
        <v>24146.1</v>
      </c>
      <c r="G22" s="27">
        <v>60000</v>
      </c>
      <c r="H22" s="27">
        <v>0</v>
      </c>
      <c r="I22" s="27">
        <v>0</v>
      </c>
      <c r="J22" s="27"/>
      <c r="K22" s="27"/>
    </row>
    <row r="23" spans="1:11" x14ac:dyDescent="0.25">
      <c r="A23" s="107"/>
      <c r="B23" s="107"/>
      <c r="C23" s="110" t="s">
        <v>22</v>
      </c>
      <c r="D23" s="28" t="s">
        <v>21</v>
      </c>
      <c r="E23" s="29">
        <f t="shared" si="9"/>
        <v>43394</v>
      </c>
      <c r="F23" s="32">
        <f>SUM(F24:F25)</f>
        <v>43394</v>
      </c>
      <c r="G23" s="32">
        <f>SUM(G24:G25)</f>
        <v>0</v>
      </c>
      <c r="H23" s="32">
        <f>SUM(H24:H25)</f>
        <v>0</v>
      </c>
      <c r="I23" s="32">
        <f>SUM(I24:I25)</f>
        <v>0</v>
      </c>
      <c r="J23" s="32"/>
      <c r="K23" s="32"/>
    </row>
    <row r="24" spans="1:11" ht="30" x14ac:dyDescent="0.25">
      <c r="A24" s="108"/>
      <c r="B24" s="108"/>
      <c r="C24" s="111"/>
      <c r="D24" s="14" t="s">
        <v>19</v>
      </c>
      <c r="E24" s="27">
        <f t="shared" si="9"/>
        <v>4146.1000000000004</v>
      </c>
      <c r="F24" s="27">
        <f>4146.1</f>
        <v>4146.1000000000004</v>
      </c>
      <c r="G24" s="27"/>
      <c r="H24" s="27"/>
      <c r="I24" s="27"/>
      <c r="J24" s="27"/>
      <c r="K24" s="27"/>
    </row>
    <row r="25" spans="1:11" ht="30" x14ac:dyDescent="0.25">
      <c r="A25" s="109"/>
      <c r="B25" s="109"/>
      <c r="C25" s="112"/>
      <c r="D25" s="14" t="s">
        <v>15</v>
      </c>
      <c r="E25" s="27">
        <f t="shared" ref="E25:E32" si="11">SUM(F25:K25)</f>
        <v>39247.9</v>
      </c>
      <c r="F25" s="26">
        <f>43393.8+0.2-4146.1</f>
        <v>39247.9</v>
      </c>
      <c r="G25" s="27">
        <v>0</v>
      </c>
      <c r="H25" s="27">
        <v>0</v>
      </c>
      <c r="I25" s="27">
        <v>0</v>
      </c>
      <c r="J25" s="27"/>
      <c r="K25" s="27"/>
    </row>
    <row r="26" spans="1:11" ht="30" x14ac:dyDescent="0.25">
      <c r="A26" s="24"/>
      <c r="B26" s="14"/>
      <c r="C26" s="14" t="s">
        <v>23</v>
      </c>
      <c r="D26" s="14" t="s">
        <v>19</v>
      </c>
      <c r="E26" s="26">
        <f t="shared" si="11"/>
        <v>3034.92</v>
      </c>
      <c r="F26" s="26">
        <f>3788.5-467.48-150-71.1-65</f>
        <v>3034.92</v>
      </c>
      <c r="G26" s="27">
        <v>0</v>
      </c>
      <c r="H26" s="27">
        <v>0</v>
      </c>
      <c r="I26" s="27">
        <v>0</v>
      </c>
      <c r="J26" s="27"/>
      <c r="K26" s="27"/>
    </row>
    <row r="27" spans="1:11" ht="30" x14ac:dyDescent="0.25">
      <c r="A27" s="24"/>
      <c r="B27" s="14"/>
      <c r="C27" s="14" t="s">
        <v>24</v>
      </c>
      <c r="D27" s="14" t="s">
        <v>19</v>
      </c>
      <c r="E27" s="26">
        <f t="shared" si="11"/>
        <v>3821.35</v>
      </c>
      <c r="F27" s="26">
        <f>4470.2-445.5-203.35</f>
        <v>3821.35</v>
      </c>
      <c r="G27" s="27"/>
      <c r="H27" s="27"/>
      <c r="I27" s="27"/>
      <c r="J27" s="27"/>
      <c r="K27" s="27"/>
    </row>
    <row r="28" spans="1:11" ht="30" x14ac:dyDescent="0.25">
      <c r="A28" s="24"/>
      <c r="B28" s="14"/>
      <c r="C28" s="14" t="s">
        <v>25</v>
      </c>
      <c r="D28" s="14" t="s">
        <v>19</v>
      </c>
      <c r="E28" s="26">
        <f t="shared" si="11"/>
        <v>1779.7199999999998</v>
      </c>
      <c r="F28" s="33">
        <f>4717-2000-770.61-98-68.67</f>
        <v>1779.7199999999998</v>
      </c>
      <c r="G28" s="27"/>
      <c r="H28" s="27"/>
      <c r="I28" s="27"/>
      <c r="J28" s="27"/>
      <c r="K28" s="27"/>
    </row>
    <row r="29" spans="1:11" ht="30" x14ac:dyDescent="0.25">
      <c r="A29" s="24"/>
      <c r="B29" s="14"/>
      <c r="C29" s="14" t="s">
        <v>26</v>
      </c>
      <c r="D29" s="14" t="s">
        <v>19</v>
      </c>
      <c r="E29" s="27">
        <f t="shared" si="11"/>
        <v>0</v>
      </c>
      <c r="F29" s="33">
        <f>3500-3500</f>
        <v>0</v>
      </c>
      <c r="G29" s="27"/>
      <c r="H29" s="27"/>
      <c r="I29" s="27"/>
      <c r="J29" s="27"/>
      <c r="K29" s="27"/>
    </row>
    <row r="30" spans="1:11" ht="30" x14ac:dyDescent="0.25">
      <c r="A30" s="24"/>
      <c r="B30" s="14"/>
      <c r="C30" s="14" t="s">
        <v>27</v>
      </c>
      <c r="D30" s="14" t="s">
        <v>19</v>
      </c>
      <c r="E30" s="26">
        <f t="shared" si="11"/>
        <v>2352.63</v>
      </c>
      <c r="F30" s="33">
        <f>2421-68.37</f>
        <v>2352.63</v>
      </c>
      <c r="G30" s="27"/>
      <c r="H30" s="27"/>
      <c r="I30" s="27"/>
      <c r="J30" s="27"/>
      <c r="K30" s="27"/>
    </row>
    <row r="31" spans="1:11" ht="30" x14ac:dyDescent="0.25">
      <c r="A31" s="24"/>
      <c r="B31" s="14"/>
      <c r="C31" s="14" t="s">
        <v>28</v>
      </c>
      <c r="D31" s="14" t="s">
        <v>19</v>
      </c>
      <c r="E31" s="26">
        <f t="shared" si="11"/>
        <v>17739.400000000001</v>
      </c>
      <c r="F31" s="33">
        <f>22739.4-5000</f>
        <v>17739.400000000001</v>
      </c>
      <c r="G31" s="27"/>
      <c r="H31" s="34"/>
      <c r="I31" s="34"/>
      <c r="J31" s="34"/>
      <c r="K31" s="34"/>
    </row>
    <row r="32" spans="1:11" ht="30" x14ac:dyDescent="0.25">
      <c r="A32" s="24"/>
      <c r="B32" s="14"/>
      <c r="C32" s="14" t="s">
        <v>29</v>
      </c>
      <c r="D32" s="14" t="s">
        <v>19</v>
      </c>
      <c r="E32" s="26">
        <f t="shared" si="11"/>
        <v>146098.77000000002</v>
      </c>
      <c r="F32" s="26">
        <f>39482.1+20000+150+40000+5000+25000</f>
        <v>129632.1</v>
      </c>
      <c r="G32" s="26">
        <f>100000-20000-40000-23550+16.67</f>
        <v>16466.669999999998</v>
      </c>
      <c r="H32" s="34">
        <v>0</v>
      </c>
      <c r="I32" s="34">
        <v>0</v>
      </c>
      <c r="J32" s="34"/>
      <c r="K32" s="34"/>
    </row>
    <row r="33" spans="1:12" x14ac:dyDescent="0.25">
      <c r="A33" s="107"/>
      <c r="B33" s="107"/>
      <c r="C33" s="110" t="s">
        <v>30</v>
      </c>
      <c r="D33" s="28" t="s">
        <v>21</v>
      </c>
      <c r="E33" s="35">
        <f>SUM(F33:K33)</f>
        <v>91068.98000000001</v>
      </c>
      <c r="F33" s="30">
        <f>F34+F35</f>
        <v>51574.68</v>
      </c>
      <c r="G33" s="30">
        <f>G34+G35</f>
        <v>39494.300000000003</v>
      </c>
      <c r="H33" s="36">
        <f>H34+H35</f>
        <v>0</v>
      </c>
      <c r="I33" s="36">
        <f>I34+I35</f>
        <v>0</v>
      </c>
      <c r="J33" s="36"/>
      <c r="K33" s="36"/>
    </row>
    <row r="34" spans="1:12" ht="30" x14ac:dyDescent="0.25">
      <c r="A34" s="108"/>
      <c r="B34" s="108"/>
      <c r="C34" s="111"/>
      <c r="D34" s="14" t="s">
        <v>19</v>
      </c>
      <c r="E34" s="37">
        <f>SUM(F34:K34)</f>
        <v>30329.73</v>
      </c>
      <c r="F34" s="37">
        <f>36641-3333.885-3065.71-1535-8515.925</f>
        <v>20190.48</v>
      </c>
      <c r="G34" s="37">
        <f>62152.9-18572.08-29573.6-4086.6+0.08+218.55</f>
        <v>10139.25</v>
      </c>
      <c r="H34" s="38">
        <v>0</v>
      </c>
      <c r="I34" s="38">
        <v>0</v>
      </c>
      <c r="J34" s="38"/>
      <c r="K34" s="38"/>
    </row>
    <row r="35" spans="1:12" ht="45" x14ac:dyDescent="0.25">
      <c r="A35" s="109"/>
      <c r="B35" s="109"/>
      <c r="C35" s="112"/>
      <c r="D35" s="14" t="s">
        <v>14</v>
      </c>
      <c r="E35" s="37">
        <f>SUM(F35:K35)</f>
        <v>60739.25</v>
      </c>
      <c r="F35" s="37">
        <v>31384.2</v>
      </c>
      <c r="G35" s="37">
        <f>29573.6-218.55</f>
        <v>29355.05</v>
      </c>
      <c r="H35" s="38">
        <v>0</v>
      </c>
      <c r="I35" s="38">
        <v>0</v>
      </c>
      <c r="J35" s="38"/>
      <c r="K35" s="38"/>
    </row>
    <row r="36" spans="1:12" x14ac:dyDescent="0.25">
      <c r="A36" s="107"/>
      <c r="B36" s="107"/>
      <c r="C36" s="110" t="s">
        <v>31</v>
      </c>
      <c r="D36" s="39" t="s">
        <v>21</v>
      </c>
      <c r="E36" s="40">
        <f>SUM(F36:K36)</f>
        <v>93671.345000000001</v>
      </c>
      <c r="F36" s="41">
        <f>F37+F38</f>
        <v>53162.74</v>
      </c>
      <c r="G36" s="41">
        <f>G37+G38</f>
        <v>40508.605000000003</v>
      </c>
      <c r="H36" s="31">
        <f>H37+H38</f>
        <v>0</v>
      </c>
      <c r="I36" s="31">
        <f>I37+I38</f>
        <v>0</v>
      </c>
      <c r="J36" s="31"/>
      <c r="K36" s="31"/>
    </row>
    <row r="37" spans="1:12" ht="30" x14ac:dyDescent="0.25">
      <c r="A37" s="108"/>
      <c r="B37" s="108"/>
      <c r="C37" s="111"/>
      <c r="D37" s="14" t="s">
        <v>19</v>
      </c>
      <c r="E37" s="42">
        <f>SUM(F37:K37)</f>
        <v>34033.495000000003</v>
      </c>
      <c r="F37" s="42">
        <f>29561.5+3203.3-12194.16+2000</f>
        <v>22570.639999999999</v>
      </c>
      <c r="G37" s="42">
        <f>13659.6-2000-218.55+21.805</f>
        <v>11462.855000000001</v>
      </c>
      <c r="H37" s="43">
        <v>0</v>
      </c>
      <c r="I37" s="43">
        <v>0</v>
      </c>
      <c r="J37" s="43"/>
      <c r="K37" s="43"/>
    </row>
    <row r="38" spans="1:12" ht="45" x14ac:dyDescent="0.25">
      <c r="A38" s="109"/>
      <c r="B38" s="109"/>
      <c r="C38" s="112"/>
      <c r="D38" s="14" t="s">
        <v>14</v>
      </c>
      <c r="E38" s="42">
        <f t="shared" ref="E38:E43" si="12">SUM(F38:K38)</f>
        <v>59637.85</v>
      </c>
      <c r="F38" s="42">
        <v>30592.1</v>
      </c>
      <c r="G38" s="42">
        <f>28827.2+218.55</f>
        <v>29045.75</v>
      </c>
      <c r="H38" s="43">
        <v>0</v>
      </c>
      <c r="I38" s="43">
        <v>0</v>
      </c>
      <c r="J38" s="43"/>
      <c r="K38" s="43"/>
    </row>
    <row r="39" spans="1:12" x14ac:dyDescent="0.25">
      <c r="A39" s="107"/>
      <c r="B39" s="107"/>
      <c r="C39" s="110" t="s">
        <v>32</v>
      </c>
      <c r="D39" s="28" t="s">
        <v>21</v>
      </c>
      <c r="E39" s="44">
        <f>SUM(F39:K39)</f>
        <v>373561.28318000003</v>
      </c>
      <c r="F39" s="45">
        <f>F40+F41</f>
        <v>2.9558577807620168E-12</v>
      </c>
      <c r="G39" s="46">
        <f t="shared" ref="G39:K39" si="13">G40+G41</f>
        <v>9439.8831800000007</v>
      </c>
      <c r="H39" s="45">
        <f t="shared" si="13"/>
        <v>364121.4</v>
      </c>
      <c r="I39" s="45">
        <f t="shared" si="13"/>
        <v>0</v>
      </c>
      <c r="J39" s="45">
        <f t="shared" si="13"/>
        <v>0</v>
      </c>
      <c r="K39" s="45">
        <f t="shared" si="13"/>
        <v>0</v>
      </c>
    </row>
    <row r="40" spans="1:12" ht="30" x14ac:dyDescent="0.25">
      <c r="A40" s="108"/>
      <c r="B40" s="108"/>
      <c r="C40" s="111"/>
      <c r="D40" s="14" t="s">
        <v>19</v>
      </c>
      <c r="E40" s="47">
        <f t="shared" si="12"/>
        <v>61213.583180000001</v>
      </c>
      <c r="F40" s="27">
        <f>1977.3+56000-56000-1977.3</f>
        <v>2.9558577807620168E-12</v>
      </c>
      <c r="G40" s="48">
        <v>9439.8831800000007</v>
      </c>
      <c r="H40" s="26">
        <f>33493.7+18280</f>
        <v>51773.7</v>
      </c>
      <c r="I40" s="27">
        <f>110479.6-110479.6</f>
        <v>0</v>
      </c>
      <c r="J40" s="27">
        <f>52039.5-52039.5</f>
        <v>0</v>
      </c>
      <c r="K40" s="27"/>
      <c r="L40" s="1"/>
    </row>
    <row r="41" spans="1:12" ht="45" x14ac:dyDescent="0.25">
      <c r="A41" s="109"/>
      <c r="B41" s="109"/>
      <c r="C41" s="112"/>
      <c r="D41" s="14" t="s">
        <v>14</v>
      </c>
      <c r="E41" s="42">
        <f t="shared" si="12"/>
        <v>312347.7</v>
      </c>
      <c r="F41" s="27"/>
      <c r="G41" s="27">
        <v>0</v>
      </c>
      <c r="H41" s="26">
        <v>312347.7</v>
      </c>
      <c r="I41" s="27"/>
      <c r="J41" s="27"/>
      <c r="K41" s="27"/>
    </row>
    <row r="42" spans="1:12" ht="30" x14ac:dyDescent="0.25">
      <c r="A42" s="24"/>
      <c r="B42" s="14"/>
      <c r="C42" s="14" t="s">
        <v>33</v>
      </c>
      <c r="D42" s="14" t="s">
        <v>19</v>
      </c>
      <c r="E42" s="42">
        <f t="shared" si="12"/>
        <v>7845.7170000000006</v>
      </c>
      <c r="F42" s="49">
        <f>7328.7+1500-982.983</f>
        <v>7845.7170000000006</v>
      </c>
      <c r="G42" s="27">
        <v>0</v>
      </c>
      <c r="H42" s="27">
        <v>0</v>
      </c>
      <c r="I42" s="27">
        <v>0</v>
      </c>
      <c r="J42" s="27"/>
      <c r="K42" s="27"/>
    </row>
    <row r="43" spans="1:12" ht="30" x14ac:dyDescent="0.25">
      <c r="A43" s="24"/>
      <c r="B43" s="14"/>
      <c r="C43" s="14" t="s">
        <v>34</v>
      </c>
      <c r="D43" s="14" t="s">
        <v>19</v>
      </c>
      <c r="E43" s="42">
        <f t="shared" si="12"/>
        <v>17125.12</v>
      </c>
      <c r="F43" s="26">
        <f>14969.5-5006.1+5500+1683.59-21.87</f>
        <v>17125.12</v>
      </c>
      <c r="G43" s="27">
        <v>0</v>
      </c>
      <c r="H43" s="27">
        <v>0</v>
      </c>
      <c r="I43" s="27">
        <v>0</v>
      </c>
      <c r="J43" s="27"/>
      <c r="K43" s="27"/>
    </row>
    <row r="44" spans="1:12" x14ac:dyDescent="0.25">
      <c r="A44" s="104"/>
      <c r="B44" s="107"/>
      <c r="C44" s="110" t="s">
        <v>35</v>
      </c>
      <c r="D44" s="39" t="s">
        <v>21</v>
      </c>
      <c r="E44" s="50">
        <f>SUM(F44:K44)</f>
        <v>366159.61877000006</v>
      </c>
      <c r="F44" s="51">
        <f>F45+F46+F47</f>
        <v>77191.886870000002</v>
      </c>
      <c r="G44" s="52">
        <f>G45+G46+G47</f>
        <v>112682.3569</v>
      </c>
      <c r="H44" s="53">
        <f>H45+H46+H47</f>
        <v>58003.574999999997</v>
      </c>
      <c r="I44" s="32">
        <f>I45+I46+I47</f>
        <v>59140.899999999994</v>
      </c>
      <c r="J44" s="32">
        <f t="shared" ref="J44:K44" si="14">J45+J46+J47</f>
        <v>59140.899999999994</v>
      </c>
      <c r="K44" s="32">
        <f t="shared" si="14"/>
        <v>0</v>
      </c>
    </row>
    <row r="45" spans="1:12" ht="45" x14ac:dyDescent="0.25">
      <c r="A45" s="104"/>
      <c r="B45" s="108"/>
      <c r="C45" s="111"/>
      <c r="D45" s="14" t="s">
        <v>36</v>
      </c>
      <c r="E45" s="48">
        <f>SUM(F45:K45)</f>
        <v>309542.04301999998</v>
      </c>
      <c r="F45" s="48">
        <v>76773.511119999996</v>
      </c>
      <c r="G45" s="54">
        <v>112682.3569</v>
      </c>
      <c r="H45" s="56">
        <f>58003.6-0.025</f>
        <v>58003.574999999997</v>
      </c>
      <c r="I45" s="27">
        <v>31041.3</v>
      </c>
      <c r="J45" s="27">
        <v>31041.3</v>
      </c>
      <c r="K45" s="27"/>
    </row>
    <row r="46" spans="1:12" ht="30" x14ac:dyDescent="0.25">
      <c r="A46" s="104"/>
      <c r="B46" s="108"/>
      <c r="C46" s="111"/>
      <c r="D46" s="14" t="s">
        <v>15</v>
      </c>
      <c r="E46" s="55">
        <f t="shared" ref="E46:E59" si="15">SUM(F46:K46)</f>
        <v>56199.199999999997</v>
      </c>
      <c r="F46" s="55">
        <f>9585.765-3195.255-6390.51</f>
        <v>0</v>
      </c>
      <c r="G46" s="25">
        <v>0</v>
      </c>
      <c r="H46" s="56"/>
      <c r="I46" s="27">
        <v>28099.599999999999</v>
      </c>
      <c r="J46" s="27">
        <v>28099.599999999999</v>
      </c>
      <c r="K46" s="27"/>
    </row>
    <row r="47" spans="1:12" ht="30" x14ac:dyDescent="0.25">
      <c r="A47" s="24"/>
      <c r="B47" s="109"/>
      <c r="C47" s="112"/>
      <c r="D47" s="14" t="s">
        <v>19</v>
      </c>
      <c r="E47" s="48">
        <f t="shared" si="15"/>
        <v>418.37574999999998</v>
      </c>
      <c r="F47" s="48">
        <v>418.37574999999998</v>
      </c>
      <c r="G47" s="27">
        <v>0</v>
      </c>
      <c r="H47" s="27">
        <v>0</v>
      </c>
      <c r="I47" s="27">
        <v>0</v>
      </c>
      <c r="J47" s="27"/>
      <c r="K47" s="27"/>
    </row>
    <row r="48" spans="1:12" ht="30" x14ac:dyDescent="0.25">
      <c r="A48" s="24"/>
      <c r="B48" s="14"/>
      <c r="C48" s="14" t="s">
        <v>37</v>
      </c>
      <c r="D48" s="14" t="s">
        <v>19</v>
      </c>
      <c r="E48" s="56">
        <f t="shared" si="15"/>
        <v>1909.9</v>
      </c>
      <c r="F48" s="26">
        <v>0</v>
      </c>
      <c r="G48" s="26">
        <v>1909.9</v>
      </c>
      <c r="H48" s="57">
        <v>0</v>
      </c>
      <c r="I48" s="57">
        <v>0</v>
      </c>
      <c r="J48" s="57"/>
      <c r="K48" s="57"/>
    </row>
    <row r="49" spans="1:13" ht="29.25" customHeight="1" x14ac:dyDescent="0.25">
      <c r="A49" s="107"/>
      <c r="B49" s="107"/>
      <c r="C49" s="110" t="s">
        <v>38</v>
      </c>
      <c r="D49" s="39" t="s">
        <v>21</v>
      </c>
      <c r="E49" s="58">
        <f t="shared" si="15"/>
        <v>53278.2</v>
      </c>
      <c r="F49" s="29">
        <f>F50+F51</f>
        <v>0</v>
      </c>
      <c r="G49" s="29">
        <f t="shared" ref="G49:K49" si="16">G50+G51</f>
        <v>0</v>
      </c>
      <c r="H49" s="29">
        <f t="shared" si="16"/>
        <v>39928.6</v>
      </c>
      <c r="I49" s="29">
        <f t="shared" si="16"/>
        <v>0</v>
      </c>
      <c r="J49" s="29">
        <f t="shared" si="16"/>
        <v>0</v>
      </c>
      <c r="K49" s="29">
        <f t="shared" si="16"/>
        <v>13349.599999999999</v>
      </c>
    </row>
    <row r="50" spans="1:13" ht="29.25" customHeight="1" x14ac:dyDescent="0.25">
      <c r="A50" s="108"/>
      <c r="B50" s="108"/>
      <c r="C50" s="111"/>
      <c r="D50" s="14" t="s">
        <v>36</v>
      </c>
      <c r="E50" s="25">
        <f t="shared" si="15"/>
        <v>11736</v>
      </c>
      <c r="F50" s="26"/>
      <c r="G50" s="26"/>
      <c r="H50" s="26">
        <v>11736</v>
      </c>
      <c r="I50" s="26"/>
      <c r="J50" s="26"/>
      <c r="K50" s="26"/>
    </row>
    <row r="51" spans="1:13" ht="29.25" customHeight="1" x14ac:dyDescent="0.25">
      <c r="A51" s="109"/>
      <c r="B51" s="109"/>
      <c r="C51" s="112"/>
      <c r="D51" s="14" t="s">
        <v>19</v>
      </c>
      <c r="E51" s="25">
        <f t="shared" si="15"/>
        <v>41542.199999999997</v>
      </c>
      <c r="F51" s="26"/>
      <c r="G51" s="26"/>
      <c r="H51" s="26">
        <f>3000+25192.6</f>
        <v>28192.6</v>
      </c>
      <c r="I51" s="26"/>
      <c r="J51" s="26"/>
      <c r="K51" s="26">
        <f>38542.2-25192.6</f>
        <v>13349.599999999999</v>
      </c>
    </row>
    <row r="52" spans="1:13" ht="32.25" customHeight="1" x14ac:dyDescent="0.25">
      <c r="A52" s="24"/>
      <c r="B52" s="14"/>
      <c r="C52" s="14" t="s">
        <v>39</v>
      </c>
      <c r="D52" s="14" t="s">
        <v>19</v>
      </c>
      <c r="E52" s="25">
        <f t="shared" si="15"/>
        <v>31267.599999999999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31267.599999999999</v>
      </c>
    </row>
    <row r="53" spans="1:13" ht="32.25" customHeight="1" x14ac:dyDescent="0.25">
      <c r="A53" s="24"/>
      <c r="B53" s="14"/>
      <c r="C53" s="59" t="s">
        <v>40</v>
      </c>
      <c r="D53" s="14" t="s">
        <v>19</v>
      </c>
      <c r="E53" s="25">
        <f t="shared" si="15"/>
        <v>15285</v>
      </c>
      <c r="F53" s="26">
        <v>0</v>
      </c>
      <c r="G53" s="26">
        <f>13396.4-13396.4</f>
        <v>0</v>
      </c>
      <c r="H53" s="26">
        <v>0</v>
      </c>
      <c r="I53" s="26">
        <v>0</v>
      </c>
      <c r="J53" s="26">
        <v>0</v>
      </c>
      <c r="K53" s="26">
        <v>15285</v>
      </c>
    </row>
    <row r="54" spans="1:13" ht="29.25" customHeight="1" x14ac:dyDescent="0.25">
      <c r="A54" s="24"/>
      <c r="B54" s="14"/>
      <c r="C54" s="14" t="s">
        <v>41</v>
      </c>
      <c r="D54" s="14" t="s">
        <v>19</v>
      </c>
      <c r="E54" s="25">
        <f t="shared" si="15"/>
        <v>38488.800000000003</v>
      </c>
      <c r="F54" s="26">
        <v>0</v>
      </c>
      <c r="G54" s="26">
        <f>20000-20000</f>
        <v>0</v>
      </c>
      <c r="H54" s="26">
        <v>0</v>
      </c>
      <c r="I54" s="26">
        <v>0</v>
      </c>
      <c r="J54" s="26">
        <v>0</v>
      </c>
      <c r="K54" s="26">
        <v>38488.800000000003</v>
      </c>
    </row>
    <row r="55" spans="1:13" ht="29.25" customHeight="1" x14ac:dyDescent="0.25">
      <c r="A55" s="24"/>
      <c r="B55" s="14"/>
      <c r="C55" s="14" t="s">
        <v>42</v>
      </c>
      <c r="D55" s="14" t="s">
        <v>19</v>
      </c>
      <c r="E55" s="25">
        <f t="shared" si="15"/>
        <v>2757.7</v>
      </c>
      <c r="F55" s="26">
        <v>0</v>
      </c>
      <c r="G55" s="26">
        <f>2757.7-2757.7</f>
        <v>0</v>
      </c>
      <c r="H55" s="26">
        <v>0</v>
      </c>
      <c r="I55" s="26">
        <v>0</v>
      </c>
      <c r="J55" s="26"/>
      <c r="K55" s="26">
        <v>2757.7</v>
      </c>
    </row>
    <row r="56" spans="1:13" ht="30.75" customHeight="1" x14ac:dyDescent="0.25">
      <c r="A56" s="24"/>
      <c r="B56" s="14"/>
      <c r="C56" s="14" t="s">
        <v>43</v>
      </c>
      <c r="D56" s="14" t="s">
        <v>19</v>
      </c>
      <c r="E56" s="25">
        <f t="shared" si="15"/>
        <v>19113.673000000003</v>
      </c>
      <c r="F56" s="37">
        <v>0</v>
      </c>
      <c r="G56" s="37">
        <v>0</v>
      </c>
      <c r="H56" s="37">
        <v>0</v>
      </c>
      <c r="I56" s="37">
        <v>0</v>
      </c>
      <c r="J56" s="37"/>
      <c r="K56" s="60">
        <f>8539.6+10574.073</f>
        <v>19113.673000000003</v>
      </c>
      <c r="L56" s="61"/>
    </row>
    <row r="57" spans="1:13" ht="29.25" customHeight="1" x14ac:dyDescent="0.25">
      <c r="A57" s="24"/>
      <c r="B57" s="14"/>
      <c r="C57" s="14" t="s">
        <v>44</v>
      </c>
      <c r="D57" s="14" t="s">
        <v>19</v>
      </c>
      <c r="E57" s="25">
        <f t="shared" si="15"/>
        <v>12924.57</v>
      </c>
      <c r="F57" s="37">
        <f>3065.71-50+50-3003.33-62.38</f>
        <v>1.0658141036401503E-13</v>
      </c>
      <c r="G57" s="37">
        <f>3003.4-191-200-84.9</f>
        <v>2527.5</v>
      </c>
      <c r="H57" s="73">
        <f>4.1+10267.34</f>
        <v>10271.44</v>
      </c>
      <c r="I57" s="73">
        <v>0</v>
      </c>
      <c r="J57" s="73"/>
      <c r="K57" s="73">
        <f>10312.17+84.9-4.1-10267.34</f>
        <v>125.6299999999992</v>
      </c>
      <c r="L57" s="2"/>
    </row>
    <row r="58" spans="1:13" ht="30.75" customHeight="1" x14ac:dyDescent="0.25">
      <c r="A58" s="24"/>
      <c r="B58" s="14"/>
      <c r="C58" s="14" t="s">
        <v>45</v>
      </c>
      <c r="D58" s="14" t="s">
        <v>19</v>
      </c>
      <c r="E58" s="56">
        <f t="shared" si="15"/>
        <v>45.435000000000002</v>
      </c>
      <c r="F58" s="60">
        <f>50+50-54.565</f>
        <v>45.435000000000002</v>
      </c>
      <c r="G58" s="37">
        <v>0</v>
      </c>
      <c r="H58" s="37">
        <v>0</v>
      </c>
      <c r="I58" s="37">
        <v>0</v>
      </c>
      <c r="J58" s="37"/>
      <c r="K58" s="37"/>
    </row>
    <row r="59" spans="1:13" ht="30" customHeight="1" x14ac:dyDescent="0.25">
      <c r="A59" s="24"/>
      <c r="B59" s="14"/>
      <c r="C59" s="14" t="s">
        <v>46</v>
      </c>
      <c r="D59" s="14" t="s">
        <v>19</v>
      </c>
      <c r="E59" s="25">
        <f t="shared" si="15"/>
        <v>50050</v>
      </c>
      <c r="F59" s="37">
        <v>0</v>
      </c>
      <c r="G59" s="37">
        <v>0</v>
      </c>
      <c r="H59" s="37">
        <f>50050-50050</f>
        <v>0</v>
      </c>
      <c r="I59" s="37">
        <v>0</v>
      </c>
      <c r="J59" s="37"/>
      <c r="K59" s="37">
        <v>50050</v>
      </c>
    </row>
    <row r="60" spans="1:13" ht="16.5" customHeight="1" x14ac:dyDescent="0.25">
      <c r="A60" s="107"/>
      <c r="B60" s="107"/>
      <c r="C60" s="110" t="s">
        <v>47</v>
      </c>
      <c r="D60" s="39" t="s">
        <v>21</v>
      </c>
      <c r="E60" s="62">
        <f>SUM(F60:K60)</f>
        <v>256411.52999999997</v>
      </c>
      <c r="F60" s="35">
        <f>F61</f>
        <v>0</v>
      </c>
      <c r="G60" s="63">
        <f>G61+G63+G64</f>
        <v>27555.833599999998</v>
      </c>
      <c r="H60" s="35">
        <f>H61+H64+H63</f>
        <v>189623.61</v>
      </c>
      <c r="I60" s="35">
        <f t="shared" ref="I60:K60" si="17">I61</f>
        <v>35500.799999999996</v>
      </c>
      <c r="J60" s="35">
        <f t="shared" si="17"/>
        <v>0</v>
      </c>
      <c r="K60" s="44">
        <f t="shared" si="17"/>
        <v>3731.2863999999945</v>
      </c>
      <c r="M60" s="64"/>
    </row>
    <row r="61" spans="1:13" ht="30.75" customHeight="1" x14ac:dyDescent="0.25">
      <c r="A61" s="108"/>
      <c r="B61" s="108"/>
      <c r="C61" s="111"/>
      <c r="D61" s="14" t="s">
        <v>19</v>
      </c>
      <c r="E61" s="65">
        <f>F61+G61+H61+I61+J61+K61</f>
        <v>100140.32102999999</v>
      </c>
      <c r="F61" s="37">
        <v>0</v>
      </c>
      <c r="G61" s="65">
        <f>10600-2715.37537</f>
        <v>7884.6246300000003</v>
      </c>
      <c r="H61" s="73">
        <f>21570.7+4631.8+25321.11+1500</f>
        <v>53023.61</v>
      </c>
      <c r="I61" s="73">
        <f>36933.1+67.7-1500</f>
        <v>35500.799999999996</v>
      </c>
      <c r="J61" s="37">
        <v>0</v>
      </c>
      <c r="K61" s="65">
        <f>27407.73-4631.8+2715.37537+88500-71.20897-84800-25321.11-67.7</f>
        <v>3731.2863999999945</v>
      </c>
      <c r="L61" s="61"/>
      <c r="M61" s="64"/>
    </row>
    <row r="62" spans="1:13" ht="59.25" hidden="1" customHeight="1" x14ac:dyDescent="0.25">
      <c r="A62" s="109"/>
      <c r="B62" s="109"/>
      <c r="C62" s="111"/>
      <c r="D62" s="14"/>
      <c r="E62" s="37">
        <f t="shared" ref="E62:E67" si="18">F62+G62+H62+I62+J62+K62</f>
        <v>0</v>
      </c>
      <c r="F62" s="37"/>
      <c r="G62" s="37"/>
      <c r="H62" s="37"/>
      <c r="I62" s="37"/>
      <c r="J62" s="37"/>
      <c r="K62" s="37"/>
      <c r="M62" s="64"/>
    </row>
    <row r="63" spans="1:13" ht="33.75" customHeight="1" x14ac:dyDescent="0.25">
      <c r="A63" s="66"/>
      <c r="B63" s="66"/>
      <c r="C63" s="111"/>
      <c r="D63" s="14" t="s">
        <v>86</v>
      </c>
      <c r="E63" s="65">
        <f>SUM(F63:K63)</f>
        <v>56471.20897</v>
      </c>
      <c r="F63" s="37" t="s">
        <v>85</v>
      </c>
      <c r="G63" s="65">
        <v>4671.2089699999997</v>
      </c>
      <c r="H63" s="37">
        <f>30000+21800</f>
        <v>51800</v>
      </c>
      <c r="I63" s="37" t="s">
        <v>85</v>
      </c>
      <c r="J63" s="37"/>
      <c r="K63" s="37"/>
      <c r="L63" s="61"/>
      <c r="M63" s="64"/>
    </row>
    <row r="64" spans="1:13" ht="38.25" customHeight="1" x14ac:dyDescent="0.25">
      <c r="A64" s="66"/>
      <c r="B64" s="66"/>
      <c r="C64" s="112"/>
      <c r="D64" s="14" t="s">
        <v>15</v>
      </c>
      <c r="E64" s="37">
        <f>SUM(F64:K64)</f>
        <v>99800</v>
      </c>
      <c r="F64" s="37" t="s">
        <v>85</v>
      </c>
      <c r="G64" s="37">
        <v>15000</v>
      </c>
      <c r="H64" s="37">
        <v>84800</v>
      </c>
      <c r="I64" s="37" t="s">
        <v>85</v>
      </c>
      <c r="J64" s="37"/>
      <c r="K64" s="37"/>
      <c r="M64" s="64"/>
    </row>
    <row r="65" spans="1:12" ht="30" x14ac:dyDescent="0.25">
      <c r="A65" s="67"/>
      <c r="B65" s="68"/>
      <c r="C65" s="68" t="s">
        <v>48</v>
      </c>
      <c r="D65" s="14" t="s">
        <v>19</v>
      </c>
      <c r="E65" s="37">
        <f t="shared" si="18"/>
        <v>689</v>
      </c>
      <c r="F65" s="37">
        <f>98-98</f>
        <v>0</v>
      </c>
      <c r="G65" s="37">
        <f>8200-7000-500-11</f>
        <v>689</v>
      </c>
      <c r="H65" s="37">
        <f>7700-7700</f>
        <v>0</v>
      </c>
      <c r="I65" s="37">
        <v>0</v>
      </c>
      <c r="J65" s="37"/>
      <c r="K65" s="37"/>
    </row>
    <row r="66" spans="1:12" ht="30" x14ac:dyDescent="0.25">
      <c r="A66" s="67"/>
      <c r="B66" s="68"/>
      <c r="C66" s="68" t="s">
        <v>49</v>
      </c>
      <c r="D66" s="14" t="s">
        <v>19</v>
      </c>
      <c r="E66" s="37">
        <f t="shared" si="18"/>
        <v>1260.8</v>
      </c>
      <c r="F66" s="37">
        <v>0</v>
      </c>
      <c r="G66" s="37">
        <f>610.8+650-300-79.4</f>
        <v>881.4</v>
      </c>
      <c r="H66" s="37">
        <v>34</v>
      </c>
      <c r="I66" s="37">
        <v>0</v>
      </c>
      <c r="J66" s="37">
        <v>0</v>
      </c>
      <c r="K66" s="37">
        <f>300+79.4-34</f>
        <v>345.4</v>
      </c>
    </row>
    <row r="67" spans="1:12" ht="30" x14ac:dyDescent="0.25">
      <c r="A67" s="67"/>
      <c r="B67" s="68"/>
      <c r="C67" s="68" t="s">
        <v>71</v>
      </c>
      <c r="D67" s="14" t="s">
        <v>19</v>
      </c>
      <c r="E67" s="37">
        <f t="shared" si="18"/>
        <v>528192.60000000009</v>
      </c>
      <c r="F67" s="37">
        <v>0</v>
      </c>
      <c r="G67" s="37">
        <f>5000-1200</f>
        <v>3800</v>
      </c>
      <c r="H67" s="37">
        <f>20000+10000+30000</f>
        <v>60000</v>
      </c>
      <c r="I67" s="73">
        <f>475197.7+29194.9-10000-30000</f>
        <v>464392.60000000003</v>
      </c>
      <c r="J67" s="37"/>
      <c r="K67" s="37"/>
      <c r="L67" s="61"/>
    </row>
    <row r="68" spans="1:12" x14ac:dyDescent="0.25">
      <c r="A68" s="107"/>
      <c r="B68" s="107"/>
      <c r="C68" s="110" t="s">
        <v>72</v>
      </c>
      <c r="D68" s="28" t="s">
        <v>21</v>
      </c>
      <c r="E68" s="35">
        <f>SUM(F68:K68)</f>
        <v>107442.83</v>
      </c>
      <c r="F68" s="35">
        <f>F69+F70</f>
        <v>0</v>
      </c>
      <c r="G68" s="35">
        <f>G69+G70</f>
        <v>50048.83</v>
      </c>
      <c r="H68" s="35">
        <f>H69+H70</f>
        <v>57394</v>
      </c>
      <c r="I68" s="35">
        <f t="shared" ref="I68:K68" si="19">I69+I70</f>
        <v>0</v>
      </c>
      <c r="J68" s="35">
        <f t="shared" si="19"/>
        <v>0</v>
      </c>
      <c r="K68" s="35">
        <f t="shared" si="19"/>
        <v>0</v>
      </c>
    </row>
    <row r="69" spans="1:12" ht="30" x14ac:dyDescent="0.25">
      <c r="A69" s="108"/>
      <c r="B69" s="108"/>
      <c r="C69" s="111"/>
      <c r="D69" s="14" t="s">
        <v>19</v>
      </c>
      <c r="E69" s="37">
        <f>SUM(F69:K69)</f>
        <v>57442.83</v>
      </c>
      <c r="F69" s="37">
        <v>0</v>
      </c>
      <c r="G69" s="37">
        <v>25048.83</v>
      </c>
      <c r="H69" s="73">
        <f>25000+8894-1500</f>
        <v>32394</v>
      </c>
      <c r="I69" s="37">
        <v>0</v>
      </c>
      <c r="J69" s="37"/>
      <c r="K69" s="37"/>
    </row>
    <row r="70" spans="1:12" ht="45" x14ac:dyDescent="0.25">
      <c r="A70" s="109"/>
      <c r="B70" s="109"/>
      <c r="C70" s="112"/>
      <c r="D70" s="14" t="s">
        <v>14</v>
      </c>
      <c r="E70" s="37">
        <f t="shared" ref="E70:E71" si="20">SUM(F70:K70)</f>
        <v>50000</v>
      </c>
      <c r="F70" s="37">
        <v>0</v>
      </c>
      <c r="G70" s="37">
        <v>25000</v>
      </c>
      <c r="H70" s="37">
        <v>25000</v>
      </c>
      <c r="I70" s="37">
        <v>0</v>
      </c>
      <c r="J70" s="37"/>
      <c r="K70" s="37"/>
    </row>
    <row r="71" spans="1:12" ht="30" x14ac:dyDescent="0.25">
      <c r="A71" s="8"/>
      <c r="B71" s="8"/>
      <c r="C71" s="69" t="s">
        <v>74</v>
      </c>
      <c r="D71" s="14" t="s">
        <v>19</v>
      </c>
      <c r="E71" s="37">
        <f t="shared" si="20"/>
        <v>5050</v>
      </c>
      <c r="F71" s="37">
        <v>0</v>
      </c>
      <c r="G71" s="37">
        <v>5000</v>
      </c>
      <c r="H71" s="37">
        <v>0</v>
      </c>
      <c r="I71" s="37">
        <v>0</v>
      </c>
      <c r="J71" s="37"/>
      <c r="K71" s="37">
        <v>50</v>
      </c>
    </row>
    <row r="72" spans="1:12" x14ac:dyDescent="0.25">
      <c r="A72" s="107"/>
      <c r="B72" s="123"/>
      <c r="C72" s="110" t="s">
        <v>76</v>
      </c>
      <c r="D72" s="28" t="s">
        <v>21</v>
      </c>
      <c r="E72" s="35">
        <f>SUM(F72:K72)</f>
        <v>427496.18999999994</v>
      </c>
      <c r="F72" s="35">
        <f>F73+F74</f>
        <v>0</v>
      </c>
      <c r="G72" s="35">
        <f>G73+G74</f>
        <v>327805.56</v>
      </c>
      <c r="H72" s="35">
        <f t="shared" ref="H72:I72" si="21">H73+H74</f>
        <v>10692.8</v>
      </c>
      <c r="I72" s="35">
        <f t="shared" si="21"/>
        <v>20231.599999999999</v>
      </c>
      <c r="J72" s="35">
        <f>J73</f>
        <v>60920.3</v>
      </c>
      <c r="K72" s="35">
        <f>K73</f>
        <v>7845.9299999999994</v>
      </c>
    </row>
    <row r="73" spans="1:12" ht="30" x14ac:dyDescent="0.25">
      <c r="A73" s="108"/>
      <c r="B73" s="123"/>
      <c r="C73" s="111"/>
      <c r="D73" s="14" t="s">
        <v>19</v>
      </c>
      <c r="E73" s="37">
        <f t="shared" ref="E73:E74" si="22">SUM(F73:K73)</f>
        <v>132471.19</v>
      </c>
      <c r="F73" s="37">
        <v>0</v>
      </c>
      <c r="G73" s="37">
        <f>43874.83-11094.27</f>
        <v>32780.559999999998</v>
      </c>
      <c r="H73" s="37">
        <f>9016.8+1705.7-29.7</f>
        <v>10692.8</v>
      </c>
      <c r="I73" s="37">
        <v>20231.599999999999</v>
      </c>
      <c r="J73" s="37">
        <v>60920.3</v>
      </c>
      <c r="K73" s="37">
        <f>9551.63-1705.7</f>
        <v>7845.9299999999994</v>
      </c>
    </row>
    <row r="74" spans="1:12" ht="30" x14ac:dyDescent="0.25">
      <c r="A74" s="109"/>
      <c r="B74" s="123"/>
      <c r="C74" s="112"/>
      <c r="D74" s="14" t="s">
        <v>15</v>
      </c>
      <c r="E74" s="37">
        <f t="shared" si="22"/>
        <v>295025</v>
      </c>
      <c r="F74" s="37"/>
      <c r="G74" s="37">
        <f>394873.44-99848.44</f>
        <v>295025</v>
      </c>
      <c r="H74" s="37"/>
      <c r="I74" s="37"/>
      <c r="J74" s="37"/>
      <c r="K74" s="37"/>
    </row>
    <row r="75" spans="1:12" x14ac:dyDescent="0.25">
      <c r="A75" s="107"/>
      <c r="B75" s="107"/>
      <c r="C75" s="110" t="s">
        <v>98</v>
      </c>
      <c r="D75" s="39" t="s">
        <v>21</v>
      </c>
      <c r="E75" s="44">
        <f>F75+G75+H75+I75+J75+K75</f>
        <v>395328.67999999993</v>
      </c>
      <c r="F75" s="35">
        <f>F76+F77+F78</f>
        <v>0</v>
      </c>
      <c r="G75" s="35">
        <f t="shared" ref="G75:K75" si="23">G76+G77+G78</f>
        <v>25000</v>
      </c>
      <c r="H75" s="44">
        <f t="shared" si="23"/>
        <v>21539.010860000002</v>
      </c>
      <c r="I75" s="35">
        <f t="shared" si="23"/>
        <v>339072.1</v>
      </c>
      <c r="J75" s="35">
        <f t="shared" si="23"/>
        <v>0</v>
      </c>
      <c r="K75" s="44">
        <f t="shared" si="23"/>
        <v>9717.5691399999923</v>
      </c>
    </row>
    <row r="76" spans="1:12" ht="45" x14ac:dyDescent="0.25">
      <c r="A76" s="108"/>
      <c r="B76" s="108"/>
      <c r="C76" s="111"/>
      <c r="D76" s="14" t="s">
        <v>36</v>
      </c>
      <c r="E76" s="65">
        <f t="shared" ref="E76:E77" si="24">F76+G76+H76+I76+J76+K76</f>
        <v>0</v>
      </c>
      <c r="F76" s="37"/>
      <c r="G76" s="37"/>
      <c r="H76" s="65"/>
      <c r="I76" s="37"/>
      <c r="J76" s="37"/>
      <c r="K76" s="65"/>
      <c r="L76" s="116"/>
    </row>
    <row r="77" spans="1:12" ht="30" x14ac:dyDescent="0.25">
      <c r="A77" s="108"/>
      <c r="B77" s="108"/>
      <c r="C77" s="111"/>
      <c r="D77" s="14" t="s">
        <v>15</v>
      </c>
      <c r="E77" s="65">
        <f t="shared" si="24"/>
        <v>0</v>
      </c>
      <c r="F77" s="37"/>
      <c r="G77" s="37"/>
      <c r="H77" s="65"/>
      <c r="I77" s="37"/>
      <c r="J77" s="37"/>
      <c r="K77" s="65"/>
      <c r="L77" s="116"/>
    </row>
    <row r="78" spans="1:12" ht="30" x14ac:dyDescent="0.25">
      <c r="A78" s="108"/>
      <c r="B78" s="109"/>
      <c r="C78" s="112"/>
      <c r="D78" s="14" t="s">
        <v>19</v>
      </c>
      <c r="E78" s="100">
        <f>SUM(F78:K78)</f>
        <v>395328.67999999993</v>
      </c>
      <c r="F78" s="37">
        <v>0</v>
      </c>
      <c r="G78" s="37">
        <v>25000</v>
      </c>
      <c r="H78" s="101">
        <f>30000-8460.98914</f>
        <v>21539.010860000002</v>
      </c>
      <c r="I78" s="37">
        <v>339072.1</v>
      </c>
      <c r="J78" s="37"/>
      <c r="K78" s="65">
        <f>79956.61+20000+319072.1-339072.1-70239.04086</f>
        <v>9717.5691399999923</v>
      </c>
    </row>
    <row r="79" spans="1:12" ht="30" x14ac:dyDescent="0.25">
      <c r="A79" s="66"/>
      <c r="B79" s="8"/>
      <c r="C79" s="69" t="s">
        <v>99</v>
      </c>
      <c r="D79" s="14" t="s">
        <v>19</v>
      </c>
      <c r="E79" s="37">
        <f>SUM(F79:K79)</f>
        <v>5909.1</v>
      </c>
      <c r="F79" s="37">
        <v>0</v>
      </c>
      <c r="G79" s="37">
        <f>5000+909.1-495.3</f>
        <v>5413.8</v>
      </c>
      <c r="H79" s="37">
        <v>0</v>
      </c>
      <c r="I79" s="37">
        <v>0</v>
      </c>
      <c r="J79" s="37"/>
      <c r="K79" s="37">
        <v>495.3</v>
      </c>
    </row>
    <row r="80" spans="1:12" ht="30" x14ac:dyDescent="0.25">
      <c r="A80" s="66"/>
      <c r="B80" s="8"/>
      <c r="C80" s="70" t="s">
        <v>78</v>
      </c>
      <c r="D80" s="14" t="s">
        <v>19</v>
      </c>
      <c r="E80" s="60">
        <f>SUM(F80:K80)</f>
        <v>3955.3999999999996</v>
      </c>
      <c r="F80" s="37">
        <v>0</v>
      </c>
      <c r="G80" s="37"/>
      <c r="H80" s="72">
        <f>4304.9-349.5</f>
        <v>3955.3999999999996</v>
      </c>
      <c r="I80" s="37">
        <v>0</v>
      </c>
      <c r="J80" s="60"/>
      <c r="K80" s="60"/>
    </row>
    <row r="81" spans="1:12" ht="30" x14ac:dyDescent="0.25">
      <c r="A81" s="66"/>
      <c r="B81" s="71"/>
      <c r="C81" s="70" t="s">
        <v>79</v>
      </c>
      <c r="D81" s="14" t="s">
        <v>19</v>
      </c>
      <c r="E81" s="60">
        <f t="shared" ref="E81:E104" si="25">SUM(F81:K81)</f>
        <v>11738.7</v>
      </c>
      <c r="F81" s="37">
        <v>0</v>
      </c>
      <c r="G81" s="37"/>
      <c r="H81" s="60"/>
      <c r="I81" s="37">
        <v>0</v>
      </c>
      <c r="J81" s="37"/>
      <c r="K81" s="37">
        <v>11738.7</v>
      </c>
    </row>
    <row r="82" spans="1:12" ht="45" x14ac:dyDescent="0.25">
      <c r="A82" s="66"/>
      <c r="B82" s="71"/>
      <c r="C82" s="70" t="s">
        <v>97</v>
      </c>
      <c r="D82" s="14" t="s">
        <v>19</v>
      </c>
      <c r="E82" s="60">
        <f t="shared" si="25"/>
        <v>99.5</v>
      </c>
      <c r="F82" s="37"/>
      <c r="G82" s="37"/>
      <c r="H82" s="37">
        <f>120-20.5</f>
        <v>99.5</v>
      </c>
      <c r="I82" s="37"/>
      <c r="J82" s="37"/>
      <c r="K82" s="37">
        <v>0</v>
      </c>
    </row>
    <row r="83" spans="1:12" ht="30" x14ac:dyDescent="0.25">
      <c r="A83" s="66"/>
      <c r="B83" s="71"/>
      <c r="C83" s="70" t="s">
        <v>89</v>
      </c>
      <c r="D83" s="14" t="s">
        <v>19</v>
      </c>
      <c r="E83" s="60">
        <f t="shared" si="25"/>
        <v>35520.9</v>
      </c>
      <c r="F83" s="37"/>
      <c r="G83" s="37"/>
      <c r="H83" s="60">
        <v>520.9</v>
      </c>
      <c r="I83" s="37">
        <v>35000</v>
      </c>
      <c r="J83" s="37"/>
      <c r="K83" s="37"/>
      <c r="L83" s="3"/>
    </row>
    <row r="84" spans="1:12" ht="30" x14ac:dyDescent="0.25">
      <c r="A84" s="66"/>
      <c r="B84" s="71"/>
      <c r="C84" s="70" t="s">
        <v>90</v>
      </c>
      <c r="D84" s="14" t="s">
        <v>19</v>
      </c>
      <c r="E84" s="60">
        <f t="shared" si="25"/>
        <v>76246.959999999992</v>
      </c>
      <c r="F84" s="37"/>
      <c r="G84" s="37"/>
      <c r="H84" s="60"/>
      <c r="I84" s="37">
        <v>0</v>
      </c>
      <c r="J84" s="37"/>
      <c r="K84" s="37">
        <f>50000+26246.96</f>
        <v>76246.959999999992</v>
      </c>
      <c r="L84" s="61"/>
    </row>
    <row r="85" spans="1:12" ht="30" x14ac:dyDescent="0.25">
      <c r="A85" s="66"/>
      <c r="B85" s="71"/>
      <c r="C85" s="70" t="s">
        <v>100</v>
      </c>
      <c r="D85" s="14" t="s">
        <v>19</v>
      </c>
      <c r="E85" s="60">
        <f t="shared" si="25"/>
        <v>3980</v>
      </c>
      <c r="F85" s="37"/>
      <c r="G85" s="37"/>
      <c r="H85" s="73">
        <f>6000-2020</f>
        <v>3980</v>
      </c>
      <c r="I85" s="37"/>
      <c r="J85" s="37"/>
      <c r="K85" s="37"/>
    </row>
    <row r="86" spans="1:12" ht="30" x14ac:dyDescent="0.25">
      <c r="A86" s="66"/>
      <c r="B86" s="71"/>
      <c r="C86" s="70" t="s">
        <v>94</v>
      </c>
      <c r="D86" s="14" t="s">
        <v>19</v>
      </c>
      <c r="E86" s="60">
        <f t="shared" si="25"/>
        <v>1633</v>
      </c>
      <c r="F86" s="37"/>
      <c r="G86" s="37"/>
      <c r="H86" s="37">
        <f>1666.3-33.3</f>
        <v>1633</v>
      </c>
      <c r="I86" s="37"/>
      <c r="J86" s="37"/>
      <c r="K86" s="37"/>
    </row>
    <row r="87" spans="1:12" ht="30" x14ac:dyDescent="0.25">
      <c r="A87" s="66"/>
      <c r="B87" s="71"/>
      <c r="C87" s="70" t="s">
        <v>95</v>
      </c>
      <c r="D87" s="14" t="s">
        <v>19</v>
      </c>
      <c r="E87" s="60">
        <f t="shared" si="25"/>
        <v>5170</v>
      </c>
      <c r="F87" s="37"/>
      <c r="G87" s="37"/>
      <c r="H87" s="37">
        <f>5175.5-5.5</f>
        <v>5170</v>
      </c>
      <c r="I87" s="37"/>
      <c r="J87" s="37"/>
      <c r="K87" s="37"/>
    </row>
    <row r="88" spans="1:12" ht="30" x14ac:dyDescent="0.25">
      <c r="A88" s="66"/>
      <c r="B88" s="71"/>
      <c r="C88" s="70" t="s">
        <v>102</v>
      </c>
      <c r="D88" s="14" t="s">
        <v>19</v>
      </c>
      <c r="E88" s="60">
        <f t="shared" si="25"/>
        <v>5248.7659999999996</v>
      </c>
      <c r="F88" s="37"/>
      <c r="G88" s="37"/>
      <c r="H88" s="37"/>
      <c r="I88" s="37"/>
      <c r="J88" s="37"/>
      <c r="K88" s="60">
        <v>5248.7659999999996</v>
      </c>
    </row>
    <row r="89" spans="1:12" ht="30" x14ac:dyDescent="0.25">
      <c r="A89" s="66"/>
      <c r="B89" s="71"/>
      <c r="C89" s="70" t="s">
        <v>106</v>
      </c>
      <c r="D89" s="14" t="s">
        <v>19</v>
      </c>
      <c r="E89" s="60">
        <f t="shared" si="25"/>
        <v>200</v>
      </c>
      <c r="F89" s="37"/>
      <c r="G89" s="37"/>
      <c r="H89" s="37">
        <f>40000-39800</f>
        <v>200</v>
      </c>
      <c r="I89" s="37"/>
      <c r="J89" s="37"/>
      <c r="K89" s="60"/>
    </row>
    <row r="90" spans="1:12" ht="30" x14ac:dyDescent="0.25">
      <c r="A90" s="66"/>
      <c r="B90" s="71"/>
      <c r="C90" s="70" t="s">
        <v>107</v>
      </c>
      <c r="D90" s="14" t="s">
        <v>19</v>
      </c>
      <c r="E90" s="60">
        <f t="shared" si="25"/>
        <v>98</v>
      </c>
      <c r="F90" s="37"/>
      <c r="G90" s="37"/>
      <c r="H90" s="73">
        <v>98</v>
      </c>
      <c r="I90" s="37"/>
      <c r="J90" s="37"/>
      <c r="K90" s="60"/>
    </row>
    <row r="91" spans="1:12" ht="30" x14ac:dyDescent="0.25">
      <c r="A91" s="66"/>
      <c r="B91" s="71"/>
      <c r="C91" s="70" t="s">
        <v>108</v>
      </c>
      <c r="D91" s="14" t="s">
        <v>19</v>
      </c>
      <c r="E91" s="60">
        <f t="shared" si="25"/>
        <v>1466.2</v>
      </c>
      <c r="F91" s="37"/>
      <c r="G91" s="37"/>
      <c r="H91" s="73">
        <v>658.1</v>
      </c>
      <c r="I91" s="73">
        <v>808.1</v>
      </c>
      <c r="J91" s="37"/>
      <c r="K91" s="60"/>
    </row>
    <row r="92" spans="1:12" x14ac:dyDescent="0.25">
      <c r="A92" s="107"/>
      <c r="B92" s="117" t="s">
        <v>50</v>
      </c>
      <c r="C92" s="120" t="s">
        <v>51</v>
      </c>
      <c r="D92" s="9" t="s">
        <v>7</v>
      </c>
      <c r="E92" s="74">
        <f t="shared" si="25"/>
        <v>1202203.4739999999</v>
      </c>
      <c r="F92" s="75">
        <f>F93+F94+F95</f>
        <v>145800.75399999996</v>
      </c>
      <c r="G92" s="76">
        <f>G93+G94+G95</f>
        <v>38206.452999999994</v>
      </c>
      <c r="H92" s="77">
        <f>H93+H94+H95</f>
        <v>47228.19</v>
      </c>
      <c r="I92" s="77">
        <f>I93+I94+I95</f>
        <v>119918.1</v>
      </c>
      <c r="J92" s="77">
        <f t="shared" ref="J92:K92" si="26">J93+J94+J95</f>
        <v>1400</v>
      </c>
      <c r="K92" s="76">
        <f t="shared" si="26"/>
        <v>849649.97699999996</v>
      </c>
    </row>
    <row r="93" spans="1:12" ht="28.5" x14ac:dyDescent="0.25">
      <c r="A93" s="108"/>
      <c r="B93" s="118"/>
      <c r="C93" s="121"/>
      <c r="D93" s="22" t="s">
        <v>13</v>
      </c>
      <c r="E93" s="74">
        <f t="shared" si="25"/>
        <v>1177746.4099999999</v>
      </c>
      <c r="F93" s="77">
        <f>F97+F99+F100+F101+F104+F106+F108+F109+F110+F112</f>
        <v>121343.68999999997</v>
      </c>
      <c r="G93" s="76">
        <f t="shared" ref="G93" si="27">G97+G99+G100+G101+G104+G106+G108+G109+G110+G112</f>
        <v>38206.452999999994</v>
      </c>
      <c r="H93" s="77">
        <f>H97+H99+H100+H101+H104+H106+H108+H109+H110+H112+H113+H114+H115+H116+H117+H118+H111+H119</f>
        <v>47228.19</v>
      </c>
      <c r="I93" s="77">
        <f>I97+I99+I100+I101+I104+I106+I108+I109+I110+I112+I113+I114+I115+I116+I117+I118+I111+I119</f>
        <v>119918.1</v>
      </c>
      <c r="J93" s="77">
        <f t="shared" ref="J93" si="28">J97+J99+J100+J101+J104+J106+J108+J109+J110+J112+J113+J114+J115+J116+J117+J118+J111+J119</f>
        <v>1400</v>
      </c>
      <c r="K93" s="76">
        <f>K97+K99+K100+K101+K104+K106+K108+K109+K110+K112+K113+K114+K115+K116+K117+K118+K111+K119</f>
        <v>849649.97699999996</v>
      </c>
    </row>
    <row r="94" spans="1:12" ht="42.75" x14ac:dyDescent="0.25">
      <c r="A94" s="108"/>
      <c r="B94" s="118"/>
      <c r="C94" s="121"/>
      <c r="D94" s="22" t="s">
        <v>14</v>
      </c>
      <c r="E94" s="74">
        <f t="shared" si="25"/>
        <v>7457.0640000000003</v>
      </c>
      <c r="F94" s="76">
        <f>F107</f>
        <v>7457.0640000000003</v>
      </c>
      <c r="G94" s="77">
        <f>G107+G98</f>
        <v>0</v>
      </c>
      <c r="H94" s="77">
        <f>H107+H98</f>
        <v>0</v>
      </c>
      <c r="I94" s="77">
        <f>I107+I98</f>
        <v>0</v>
      </c>
      <c r="J94" s="77">
        <f t="shared" ref="J94:K94" si="29">J107+J98</f>
        <v>0</v>
      </c>
      <c r="K94" s="77">
        <f t="shared" si="29"/>
        <v>0</v>
      </c>
    </row>
    <row r="95" spans="1:12" ht="28.5" x14ac:dyDescent="0.25">
      <c r="A95" s="109"/>
      <c r="B95" s="119"/>
      <c r="C95" s="122"/>
      <c r="D95" s="22" t="s">
        <v>15</v>
      </c>
      <c r="E95" s="78">
        <f t="shared" si="25"/>
        <v>17000</v>
      </c>
      <c r="F95" s="77">
        <f>F98</f>
        <v>17000</v>
      </c>
      <c r="G95" s="77"/>
      <c r="H95" s="77"/>
      <c r="I95" s="77"/>
      <c r="J95" s="77"/>
      <c r="K95" s="77"/>
    </row>
    <row r="96" spans="1:12" x14ac:dyDescent="0.25">
      <c r="A96" s="107"/>
      <c r="B96" s="107"/>
      <c r="C96" s="110" t="s">
        <v>52</v>
      </c>
      <c r="D96" s="79" t="s">
        <v>21</v>
      </c>
      <c r="E96" s="29">
        <f t="shared" si="25"/>
        <v>329273.5</v>
      </c>
      <c r="F96" s="30">
        <f>F97+F98</f>
        <v>27000</v>
      </c>
      <c r="G96" s="30">
        <f t="shared" ref="G96:K96" si="30">G97+G98</f>
        <v>0</v>
      </c>
      <c r="H96" s="30">
        <f t="shared" si="30"/>
        <v>95</v>
      </c>
      <c r="I96" s="30">
        <f t="shared" si="30"/>
        <v>0</v>
      </c>
      <c r="J96" s="30">
        <f t="shared" si="30"/>
        <v>0</v>
      </c>
      <c r="K96" s="30">
        <f t="shared" si="30"/>
        <v>302178.5</v>
      </c>
    </row>
    <row r="97" spans="1:12" ht="30" x14ac:dyDescent="0.25">
      <c r="A97" s="108"/>
      <c r="B97" s="108"/>
      <c r="C97" s="111"/>
      <c r="D97" s="14" t="s">
        <v>19</v>
      </c>
      <c r="E97" s="26">
        <f t="shared" si="25"/>
        <v>312273.5</v>
      </c>
      <c r="F97" s="26">
        <f>30000-20000</f>
        <v>10000</v>
      </c>
      <c r="G97" s="26">
        <f>176435.6+20000-196435.6</f>
        <v>0</v>
      </c>
      <c r="H97" s="26">
        <v>95</v>
      </c>
      <c r="I97" s="26">
        <v>0</v>
      </c>
      <c r="J97" s="26"/>
      <c r="K97" s="26">
        <f>179435.6+122837.9-95</f>
        <v>302178.5</v>
      </c>
      <c r="L97" s="2"/>
    </row>
    <row r="98" spans="1:12" ht="30" x14ac:dyDescent="0.25">
      <c r="A98" s="109"/>
      <c r="B98" s="109"/>
      <c r="C98" s="112"/>
      <c r="D98" s="14" t="s">
        <v>15</v>
      </c>
      <c r="E98" s="26">
        <f t="shared" si="25"/>
        <v>17000</v>
      </c>
      <c r="F98" s="26">
        <v>17000</v>
      </c>
      <c r="G98" s="26"/>
      <c r="H98" s="26"/>
      <c r="I98" s="26"/>
      <c r="J98" s="26"/>
      <c r="K98" s="26"/>
    </row>
    <row r="99" spans="1:12" ht="30" x14ac:dyDescent="0.25">
      <c r="A99" s="24"/>
      <c r="B99" s="24"/>
      <c r="C99" s="14" t="s">
        <v>53</v>
      </c>
      <c r="D99" s="14" t="s">
        <v>19</v>
      </c>
      <c r="E99" s="26">
        <f t="shared" si="25"/>
        <v>37947.200000000004</v>
      </c>
      <c r="F99" s="26">
        <f>10000-5000-50-0.1</f>
        <v>4949.8999999999996</v>
      </c>
      <c r="G99" s="26">
        <f>27912.3+5000-32912.3</f>
        <v>0</v>
      </c>
      <c r="H99" s="95">
        <f>50+85</f>
        <v>135</v>
      </c>
      <c r="I99" s="26">
        <v>0</v>
      </c>
      <c r="J99" s="26"/>
      <c r="K99" s="26">
        <f>32912.3-50</f>
        <v>32862.300000000003</v>
      </c>
      <c r="L99" s="2"/>
    </row>
    <row r="100" spans="1:12" ht="30" x14ac:dyDescent="0.25">
      <c r="A100" s="24"/>
      <c r="B100" s="24"/>
      <c r="C100" s="59" t="s">
        <v>54</v>
      </c>
      <c r="D100" s="14" t="s">
        <v>19</v>
      </c>
      <c r="E100" s="26">
        <f t="shared" si="25"/>
        <v>91492.909999999989</v>
      </c>
      <c r="F100" s="26">
        <f>95674.4-9342.27</f>
        <v>86332.12999999999</v>
      </c>
      <c r="G100" s="26">
        <f>8342.3+41-3181.52-41</f>
        <v>5160.7799999999988</v>
      </c>
      <c r="H100" s="26">
        <v>0</v>
      </c>
      <c r="I100" s="26">
        <v>0</v>
      </c>
      <c r="J100" s="26"/>
      <c r="K100" s="26"/>
    </row>
    <row r="101" spans="1:12" ht="45" x14ac:dyDescent="0.25">
      <c r="A101" s="24"/>
      <c r="B101" s="24"/>
      <c r="C101" s="59" t="s">
        <v>55</v>
      </c>
      <c r="D101" s="14" t="s">
        <v>19</v>
      </c>
      <c r="E101" s="26">
        <f t="shared" si="25"/>
        <v>63073.686999999991</v>
      </c>
      <c r="F101" s="49">
        <f>45825.2-34619.98+12207.53-12954.4-9412.75-665.713</f>
        <v>379.88699999999312</v>
      </c>
      <c r="G101" s="26">
        <v>26412.799999999999</v>
      </c>
      <c r="H101" s="26">
        <f>15412.45-0.05+14608</f>
        <v>30020.400000000001</v>
      </c>
      <c r="I101" s="26">
        <v>6260.6</v>
      </c>
      <c r="J101" s="26"/>
      <c r="K101" s="26"/>
    </row>
    <row r="102" spans="1:12" ht="45" x14ac:dyDescent="0.25">
      <c r="A102" s="24"/>
      <c r="B102" s="24"/>
      <c r="C102" s="59" t="s">
        <v>56</v>
      </c>
      <c r="D102" s="14" t="s">
        <v>19</v>
      </c>
      <c r="E102" s="26">
        <f t="shared" si="25"/>
        <v>0</v>
      </c>
      <c r="F102" s="26">
        <f>5160.1-5160.1</f>
        <v>0</v>
      </c>
      <c r="G102" s="26">
        <v>0</v>
      </c>
      <c r="H102" s="26">
        <v>0</v>
      </c>
      <c r="I102" s="26">
        <v>0</v>
      </c>
      <c r="J102" s="26"/>
      <c r="K102" s="26"/>
    </row>
    <row r="103" spans="1:12" ht="30" x14ac:dyDescent="0.25">
      <c r="A103" s="24"/>
      <c r="B103" s="24"/>
      <c r="C103" s="59" t="s">
        <v>57</v>
      </c>
      <c r="D103" s="14" t="s">
        <v>19</v>
      </c>
      <c r="E103" s="26">
        <f t="shared" si="25"/>
        <v>0</v>
      </c>
      <c r="F103" s="26">
        <f>5000-3203.3+3203.3-5000</f>
        <v>0</v>
      </c>
      <c r="G103" s="26">
        <v>0</v>
      </c>
      <c r="H103" s="26">
        <v>0</v>
      </c>
      <c r="I103" s="26">
        <v>0</v>
      </c>
      <c r="J103" s="26"/>
      <c r="K103" s="26"/>
    </row>
    <row r="104" spans="1:12" ht="30" x14ac:dyDescent="0.25">
      <c r="A104" s="14"/>
      <c r="B104" s="24"/>
      <c r="C104" s="14" t="s">
        <v>58</v>
      </c>
      <c r="D104" s="14" t="s">
        <v>19</v>
      </c>
      <c r="E104" s="26">
        <f t="shared" si="25"/>
        <v>0</v>
      </c>
      <c r="F104" s="26">
        <v>0</v>
      </c>
      <c r="G104" s="26">
        <v>0</v>
      </c>
      <c r="H104" s="26">
        <v>0</v>
      </c>
      <c r="I104" s="26"/>
      <c r="J104" s="26"/>
      <c r="K104" s="26"/>
    </row>
    <row r="105" spans="1:12" x14ac:dyDescent="0.25">
      <c r="A105" s="113"/>
      <c r="B105" s="113"/>
      <c r="C105" s="110" t="s">
        <v>59</v>
      </c>
      <c r="D105" s="28" t="s">
        <v>21</v>
      </c>
      <c r="E105" s="80">
        <f t="shared" si="8"/>
        <v>27138.837</v>
      </c>
      <c r="F105" s="81">
        <f>F106+F107</f>
        <v>27138.837</v>
      </c>
      <c r="G105" s="81">
        <f>G106+G107</f>
        <v>0</v>
      </c>
      <c r="H105" s="81">
        <f>H106+H107</f>
        <v>0</v>
      </c>
      <c r="I105" s="82">
        <f>I106+I107</f>
        <v>0</v>
      </c>
      <c r="J105" s="81">
        <v>0</v>
      </c>
      <c r="K105" s="81"/>
    </row>
    <row r="106" spans="1:12" ht="30" x14ac:dyDescent="0.25">
      <c r="A106" s="114"/>
      <c r="B106" s="114"/>
      <c r="C106" s="111"/>
      <c r="D106" s="14" t="s">
        <v>19</v>
      </c>
      <c r="E106" s="49">
        <f t="shared" si="8"/>
        <v>19681.773000000001</v>
      </c>
      <c r="F106" s="83">
        <f>35+11837.09+5000+2809.683</f>
        <v>19681.773000000001</v>
      </c>
      <c r="G106" s="49">
        <v>0</v>
      </c>
      <c r="H106" s="49">
        <v>0</v>
      </c>
      <c r="I106" s="26">
        <v>0</v>
      </c>
      <c r="J106" s="49"/>
      <c r="K106" s="49"/>
    </row>
    <row r="107" spans="1:12" ht="45" x14ac:dyDescent="0.25">
      <c r="A107" s="115"/>
      <c r="B107" s="115"/>
      <c r="C107" s="112"/>
      <c r="D107" s="14" t="s">
        <v>14</v>
      </c>
      <c r="E107" s="49">
        <f t="shared" si="8"/>
        <v>7457.0640000000003</v>
      </c>
      <c r="F107" s="83">
        <f>11834.2-4377.136</f>
        <v>7457.0640000000003</v>
      </c>
      <c r="G107" s="49">
        <v>0</v>
      </c>
      <c r="H107" s="49">
        <v>0</v>
      </c>
      <c r="I107" s="26">
        <v>0</v>
      </c>
      <c r="J107" s="49"/>
      <c r="K107" s="49"/>
    </row>
    <row r="108" spans="1:12" ht="30" x14ac:dyDescent="0.25">
      <c r="A108" s="84"/>
      <c r="B108" s="84"/>
      <c r="C108" s="85" t="s">
        <v>60</v>
      </c>
      <c r="D108" s="14" t="s">
        <v>19</v>
      </c>
      <c r="E108" s="49">
        <f>SUM(F108:K108)</f>
        <v>116959.98300000001</v>
      </c>
      <c r="F108" s="86">
        <f>44697.58-29697.58-4700-10000-300</f>
        <v>0</v>
      </c>
      <c r="G108" s="49">
        <f>17350+2423.43-17549.947</f>
        <v>2223.4830000000002</v>
      </c>
      <c r="H108" s="49">
        <v>15000</v>
      </c>
      <c r="I108" s="26">
        <v>99736.5</v>
      </c>
      <c r="J108" s="49"/>
      <c r="K108" s="49"/>
      <c r="L108" s="3"/>
    </row>
    <row r="109" spans="1:12" ht="45" x14ac:dyDescent="0.25">
      <c r="A109" s="84"/>
      <c r="B109" s="84"/>
      <c r="C109" s="85" t="s">
        <v>70</v>
      </c>
      <c r="D109" s="14" t="s">
        <v>19</v>
      </c>
      <c r="E109" s="49">
        <f t="shared" si="8"/>
        <v>3000</v>
      </c>
      <c r="F109" s="83">
        <v>0</v>
      </c>
      <c r="G109" s="49">
        <v>3000</v>
      </c>
      <c r="H109" s="49">
        <v>0</v>
      </c>
      <c r="I109" s="26">
        <v>0</v>
      </c>
      <c r="J109" s="49"/>
      <c r="K109" s="49"/>
    </row>
    <row r="110" spans="1:12" ht="30" x14ac:dyDescent="0.25">
      <c r="A110" s="84"/>
      <c r="B110" s="84"/>
      <c r="C110" s="85" t="s">
        <v>77</v>
      </c>
      <c r="D110" s="14" t="s">
        <v>19</v>
      </c>
      <c r="E110" s="26">
        <f>SUM(F110:K110)</f>
        <v>2809.3900000000003</v>
      </c>
      <c r="F110" s="83">
        <v>0</v>
      </c>
      <c r="G110" s="26">
        <f>1400+9.39</f>
        <v>1409.39</v>
      </c>
      <c r="H110" s="26">
        <v>0</v>
      </c>
      <c r="I110" s="26">
        <v>0</v>
      </c>
      <c r="J110" s="49">
        <v>1400</v>
      </c>
      <c r="K110" s="49">
        <v>0</v>
      </c>
    </row>
    <row r="111" spans="1:12" ht="30" x14ac:dyDescent="0.25">
      <c r="A111" s="84"/>
      <c r="B111" s="8"/>
      <c r="C111" s="70" t="s">
        <v>101</v>
      </c>
      <c r="D111" s="14" t="s">
        <v>19</v>
      </c>
      <c r="E111" s="60">
        <f>SUM(F111:K111)</f>
        <v>492902.5</v>
      </c>
      <c r="F111" s="37"/>
      <c r="G111" s="37"/>
      <c r="H111" s="73">
        <f>700-596.71</f>
        <v>103.28999999999996</v>
      </c>
      <c r="I111" s="37"/>
      <c r="J111" s="37"/>
      <c r="K111" s="73">
        <f>492202.5+596.71</f>
        <v>492799.21</v>
      </c>
    </row>
    <row r="112" spans="1:12" ht="30" x14ac:dyDescent="0.25">
      <c r="A112" s="84"/>
      <c r="B112" s="84"/>
      <c r="C112" s="69" t="s">
        <v>103</v>
      </c>
      <c r="D112" s="14" t="s">
        <v>19</v>
      </c>
      <c r="E112" s="49">
        <f>SUM(F112:K112)</f>
        <v>1834.2</v>
      </c>
      <c r="F112" s="83">
        <v>0</v>
      </c>
      <c r="G112" s="49">
        <v>0</v>
      </c>
      <c r="H112" s="49">
        <v>356.5</v>
      </c>
      <c r="I112" s="26">
        <v>1477.7</v>
      </c>
      <c r="J112" s="49"/>
      <c r="K112" s="49"/>
      <c r="L112" s="61"/>
    </row>
    <row r="113" spans="1:12" ht="45" x14ac:dyDescent="0.25">
      <c r="A113" s="66"/>
      <c r="B113" s="71"/>
      <c r="C113" s="70" t="s">
        <v>80</v>
      </c>
      <c r="D113" s="14" t="s">
        <v>19</v>
      </c>
      <c r="E113" s="49">
        <f t="shared" ref="E113:E119" si="31">SUM(F113:K113)</f>
        <v>1160.692</v>
      </c>
      <c r="F113" s="87">
        <v>0</v>
      </c>
      <c r="G113" s="87">
        <v>0</v>
      </c>
      <c r="H113" s="60"/>
      <c r="I113" s="87">
        <v>0</v>
      </c>
      <c r="J113" s="87"/>
      <c r="K113" s="88">
        <v>1160.692</v>
      </c>
    </row>
    <row r="114" spans="1:12" ht="49.5" customHeight="1" x14ac:dyDescent="0.25">
      <c r="A114" s="8"/>
      <c r="B114" s="8"/>
      <c r="C114" s="69" t="s">
        <v>81</v>
      </c>
      <c r="D114" s="14" t="s">
        <v>19</v>
      </c>
      <c r="E114" s="49">
        <f t="shared" si="31"/>
        <v>3029.7020000000002</v>
      </c>
      <c r="F114" s="87">
        <v>0</v>
      </c>
      <c r="G114" s="87">
        <v>0</v>
      </c>
      <c r="H114" s="60"/>
      <c r="I114" s="87">
        <v>0</v>
      </c>
      <c r="J114" s="87"/>
      <c r="K114" s="88">
        <v>3029.7020000000002</v>
      </c>
    </row>
    <row r="115" spans="1:12" ht="31.5" customHeight="1" x14ac:dyDescent="0.25">
      <c r="A115" s="8"/>
      <c r="B115" s="8"/>
      <c r="C115" s="89" t="s">
        <v>82</v>
      </c>
      <c r="D115" s="14" t="s">
        <v>19</v>
      </c>
      <c r="E115" s="49">
        <f t="shared" si="31"/>
        <v>6377.3</v>
      </c>
      <c r="F115" s="87" t="s">
        <v>85</v>
      </c>
      <c r="G115" s="87" t="s">
        <v>85</v>
      </c>
      <c r="H115" s="60"/>
      <c r="I115" s="87">
        <v>0</v>
      </c>
      <c r="J115" s="87"/>
      <c r="K115" s="87">
        <v>6377.3</v>
      </c>
    </row>
    <row r="116" spans="1:12" ht="29.25" customHeight="1" x14ac:dyDescent="0.25">
      <c r="A116" s="8"/>
      <c r="B116" s="8"/>
      <c r="C116" s="90" t="s">
        <v>83</v>
      </c>
      <c r="D116" s="14" t="s">
        <v>19</v>
      </c>
      <c r="E116" s="49">
        <f t="shared" si="31"/>
        <v>7206.9629999999997</v>
      </c>
      <c r="F116" s="87">
        <v>0</v>
      </c>
      <c r="G116" s="87" t="s">
        <v>85</v>
      </c>
      <c r="H116" s="60"/>
      <c r="I116" s="87">
        <v>0</v>
      </c>
      <c r="J116" s="87"/>
      <c r="K116" s="88">
        <v>7206.9629999999997</v>
      </c>
    </row>
    <row r="117" spans="1:12" ht="48" customHeight="1" x14ac:dyDescent="0.25">
      <c r="A117" s="8"/>
      <c r="B117" s="8"/>
      <c r="C117" s="91" t="s">
        <v>84</v>
      </c>
      <c r="D117" s="14" t="s">
        <v>19</v>
      </c>
      <c r="E117" s="49">
        <f t="shared" si="31"/>
        <v>1837.0160000000001</v>
      </c>
      <c r="F117" s="87" t="s">
        <v>85</v>
      </c>
      <c r="G117" s="87" t="s">
        <v>85</v>
      </c>
      <c r="H117" s="60"/>
      <c r="I117" s="87">
        <v>0</v>
      </c>
      <c r="J117" s="87"/>
      <c r="K117" s="88">
        <v>1837.0160000000001</v>
      </c>
    </row>
    <row r="118" spans="1:12" ht="48.75" customHeight="1" x14ac:dyDescent="0.25">
      <c r="A118" s="92"/>
      <c r="B118" s="92"/>
      <c r="C118" s="93" t="s">
        <v>105</v>
      </c>
      <c r="D118" s="14" t="s">
        <v>19</v>
      </c>
      <c r="E118" s="49">
        <f t="shared" si="31"/>
        <v>2198.2939999999999</v>
      </c>
      <c r="F118" s="94" t="s">
        <v>85</v>
      </c>
      <c r="G118" s="88" t="s">
        <v>85</v>
      </c>
      <c r="H118" s="49"/>
      <c r="I118" s="87">
        <v>0</v>
      </c>
      <c r="J118" s="88"/>
      <c r="K118" s="88">
        <v>2198.2939999999999</v>
      </c>
    </row>
    <row r="119" spans="1:12" ht="33" customHeight="1" x14ac:dyDescent="0.25">
      <c r="A119" s="92"/>
      <c r="B119" s="92"/>
      <c r="C119" s="93" t="s">
        <v>104</v>
      </c>
      <c r="D119" s="14" t="s">
        <v>19</v>
      </c>
      <c r="E119" s="49">
        <f t="shared" si="31"/>
        <v>13961.3</v>
      </c>
      <c r="F119" s="94"/>
      <c r="G119" s="88"/>
      <c r="H119" s="26">
        <v>1518</v>
      </c>
      <c r="I119" s="87">
        <v>12443.3</v>
      </c>
      <c r="J119" s="88"/>
      <c r="K119" s="88"/>
      <c r="L119" s="61"/>
    </row>
    <row r="120" spans="1:12" x14ac:dyDescent="0.25">
      <c r="A120" s="104"/>
      <c r="B120" s="105" t="s">
        <v>61</v>
      </c>
      <c r="C120" s="106" t="s">
        <v>62</v>
      </c>
      <c r="D120" s="22" t="s">
        <v>7</v>
      </c>
      <c r="E120" s="74">
        <f>SUM(F120:K120)</f>
        <v>199529.53899999999</v>
      </c>
      <c r="F120" s="77">
        <f>F121</f>
        <v>36845.57</v>
      </c>
      <c r="G120" s="76">
        <f>G121</f>
        <v>33590.269</v>
      </c>
      <c r="H120" s="96">
        <f>H121</f>
        <v>31800.5</v>
      </c>
      <c r="I120" s="96">
        <f>I121</f>
        <v>30752.799999999999</v>
      </c>
      <c r="J120" s="96">
        <f t="shared" ref="J120:K120" si="32">J121</f>
        <v>30687.1</v>
      </c>
      <c r="K120" s="96">
        <f t="shared" si="32"/>
        <v>35853.300000000003</v>
      </c>
    </row>
    <row r="121" spans="1:12" ht="27.75" customHeight="1" x14ac:dyDescent="0.25">
      <c r="A121" s="104"/>
      <c r="B121" s="105"/>
      <c r="C121" s="106"/>
      <c r="D121" s="22" t="s">
        <v>13</v>
      </c>
      <c r="E121" s="74">
        <f>SUM(F121:K121)</f>
        <v>199529.53899999999</v>
      </c>
      <c r="F121" s="77">
        <f>SUM(F122:F128)</f>
        <v>36845.57</v>
      </c>
      <c r="G121" s="76">
        <f>SUM(G122:G128)</f>
        <v>33590.269</v>
      </c>
      <c r="H121" s="96">
        <f>SUM(H122:H128)</f>
        <v>31800.5</v>
      </c>
      <c r="I121" s="96">
        <f>SUM(I122:I128)</f>
        <v>30752.799999999999</v>
      </c>
      <c r="J121" s="96">
        <f t="shared" ref="J121:K121" si="33">SUM(J122:J128)</f>
        <v>30687.1</v>
      </c>
      <c r="K121" s="96">
        <f t="shared" si="33"/>
        <v>35853.300000000003</v>
      </c>
    </row>
    <row r="122" spans="1:12" ht="30" customHeight="1" x14ac:dyDescent="0.25">
      <c r="A122" s="24"/>
      <c r="B122" s="24"/>
      <c r="C122" s="14" t="s">
        <v>63</v>
      </c>
      <c r="D122" s="14" t="s">
        <v>19</v>
      </c>
      <c r="E122" s="49">
        <f>SUM(F122:K122)</f>
        <v>125536.895</v>
      </c>
      <c r="F122" s="27">
        <f>24038.8-200+335-150+150-150-75.9</f>
        <v>23947.899999999998</v>
      </c>
      <c r="G122" s="49">
        <f>22993.7-108.7-2746.7-70-49.9-21.805+632.2</f>
        <v>20628.794999999998</v>
      </c>
      <c r="H122" s="97">
        <f>18918.3+166.5</f>
        <v>19084.8</v>
      </c>
      <c r="I122" s="27">
        <v>18931.5</v>
      </c>
      <c r="J122" s="27">
        <v>18905.099999999999</v>
      </c>
      <c r="K122" s="27">
        <v>24038.799999999999</v>
      </c>
    </row>
    <row r="123" spans="1:12" ht="29.25" customHeight="1" x14ac:dyDescent="0.25">
      <c r="A123" s="24"/>
      <c r="B123" s="24"/>
      <c r="C123" s="14" t="s">
        <v>64</v>
      </c>
      <c r="D123" s="14" t="s">
        <v>19</v>
      </c>
      <c r="E123" s="26">
        <f>SUM(F123:K123)</f>
        <v>7573.77</v>
      </c>
      <c r="F123" s="26">
        <f>7182-5682-571.73-196.6+0.1</f>
        <v>731.77</v>
      </c>
      <c r="G123" s="27">
        <f>1500-95-374</f>
        <v>1031</v>
      </c>
      <c r="H123" s="27">
        <f>1264.5+1000-247</f>
        <v>2017.5</v>
      </c>
      <c r="I123" s="27">
        <v>1264.5</v>
      </c>
      <c r="J123" s="27">
        <v>1264.5</v>
      </c>
      <c r="K123" s="27">
        <v>1264.5</v>
      </c>
      <c r="L123" s="61"/>
    </row>
    <row r="124" spans="1:12" ht="44.25" hidden="1" customHeight="1" x14ac:dyDescent="0.25">
      <c r="A124" s="24"/>
      <c r="B124" s="24"/>
      <c r="C124" s="14" t="s">
        <v>65</v>
      </c>
      <c r="D124" s="14" t="s">
        <v>19</v>
      </c>
      <c r="E124" s="27">
        <f>SUM(F124:I124)</f>
        <v>0</v>
      </c>
      <c r="F124" s="27">
        <f>2504.2-2504.2</f>
        <v>0</v>
      </c>
      <c r="G124" s="27">
        <f>500-500</f>
        <v>0</v>
      </c>
      <c r="H124" s="27">
        <v>0</v>
      </c>
      <c r="I124" s="27">
        <v>0</v>
      </c>
      <c r="J124" s="27"/>
      <c r="K124" s="27"/>
    </row>
    <row r="125" spans="1:12" ht="45" customHeight="1" x14ac:dyDescent="0.25">
      <c r="A125" s="24"/>
      <c r="B125" s="24"/>
      <c r="C125" s="14" t="s">
        <v>66</v>
      </c>
      <c r="D125" s="14" t="s">
        <v>19</v>
      </c>
      <c r="E125" s="27">
        <f>SUM(F125:K125)</f>
        <v>2137.6999999999998</v>
      </c>
      <c r="F125" s="27">
        <f>3175.8-2675.8-162.3</f>
        <v>337.7</v>
      </c>
      <c r="G125" s="27">
        <f>500-500</f>
        <v>0</v>
      </c>
      <c r="H125" s="27">
        <v>450</v>
      </c>
      <c r="I125" s="27">
        <v>450</v>
      </c>
      <c r="J125" s="27">
        <v>450</v>
      </c>
      <c r="K125" s="27">
        <v>450</v>
      </c>
    </row>
    <row r="126" spans="1:12" ht="45" customHeight="1" x14ac:dyDescent="0.25">
      <c r="A126" s="24"/>
      <c r="B126" s="24"/>
      <c r="C126" s="14" t="s">
        <v>73</v>
      </c>
      <c r="D126" s="14" t="s">
        <v>19</v>
      </c>
      <c r="E126" s="27">
        <f>SUM(F126:K126)</f>
        <v>171</v>
      </c>
      <c r="F126" s="27">
        <v>0</v>
      </c>
      <c r="G126" s="27">
        <f>1700-1226-200-103</f>
        <v>171</v>
      </c>
      <c r="H126" s="27">
        <v>0</v>
      </c>
      <c r="I126" s="27">
        <v>0</v>
      </c>
      <c r="J126" s="27"/>
      <c r="K126" s="27"/>
    </row>
    <row r="127" spans="1:12" ht="59.25" customHeight="1" x14ac:dyDescent="0.25">
      <c r="A127" s="24"/>
      <c r="B127" s="24"/>
      <c r="C127" s="14" t="s">
        <v>67</v>
      </c>
      <c r="D127" s="14" t="s">
        <v>19</v>
      </c>
      <c r="E127" s="27">
        <f>SUM(F127:K127)</f>
        <v>50</v>
      </c>
      <c r="F127" s="27">
        <v>50</v>
      </c>
      <c r="G127" s="27">
        <v>0</v>
      </c>
      <c r="H127" s="27">
        <v>0</v>
      </c>
      <c r="I127" s="27">
        <v>0</v>
      </c>
      <c r="J127" s="27"/>
      <c r="K127" s="27"/>
    </row>
    <row r="128" spans="1:12" ht="31.5" customHeight="1" x14ac:dyDescent="0.25">
      <c r="A128" s="98"/>
      <c r="B128" s="98"/>
      <c r="C128" s="14" t="s">
        <v>68</v>
      </c>
      <c r="D128" s="14" t="s">
        <v>19</v>
      </c>
      <c r="E128" s="26">
        <f>SUM(F128:K128)</f>
        <v>64060.173999999999</v>
      </c>
      <c r="F128" s="27">
        <f>9884.4+1392.6+823.516-823.516-89.1+395.8-179.9+457.4-83</f>
        <v>11778.199999999999</v>
      </c>
      <c r="G128" s="49">
        <f>10632.3-231.39-255.836-485.2+1380+93.8+62.6-54+6.4+663.8-53</f>
        <v>11759.473999999998</v>
      </c>
      <c r="H128" s="97">
        <f>10087.2+61+100</f>
        <v>10248.200000000001</v>
      </c>
      <c r="I128" s="27">
        <v>10106.799999999999</v>
      </c>
      <c r="J128" s="27">
        <v>10067.5</v>
      </c>
      <c r="K128" s="27">
        <v>10100</v>
      </c>
    </row>
    <row r="129" spans="1:1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ht="18.75" x14ac:dyDescent="0.3">
      <c r="A131" s="99"/>
      <c r="B131" s="99" t="s">
        <v>69</v>
      </c>
      <c r="C131" s="99"/>
      <c r="D131" s="99"/>
      <c r="E131" s="99"/>
      <c r="F131" s="99" t="s">
        <v>75</v>
      </c>
      <c r="G131" s="99"/>
      <c r="H131" s="99"/>
      <c r="I131" s="99"/>
      <c r="J131" s="99"/>
      <c r="K131" s="99"/>
    </row>
  </sheetData>
  <mergeCells count="62">
    <mergeCell ref="A5:A6"/>
    <mergeCell ref="B5:B6"/>
    <mergeCell ref="C5:C6"/>
    <mergeCell ref="D5:D6"/>
    <mergeCell ref="E5:K5"/>
    <mergeCell ref="I1:K1"/>
    <mergeCell ref="I2:K2"/>
    <mergeCell ref="A3:K3"/>
    <mergeCell ref="A4:C4"/>
    <mergeCell ref="D4:K4"/>
    <mergeCell ref="A8:A11"/>
    <mergeCell ref="B8:B11"/>
    <mergeCell ref="C8:C11"/>
    <mergeCell ref="A13:A16"/>
    <mergeCell ref="B13:B16"/>
    <mergeCell ref="C13:C16"/>
    <mergeCell ref="A19:A22"/>
    <mergeCell ref="B19:B22"/>
    <mergeCell ref="C19:C22"/>
    <mergeCell ref="A23:A25"/>
    <mergeCell ref="B23:B25"/>
    <mergeCell ref="C23:C25"/>
    <mergeCell ref="A33:A35"/>
    <mergeCell ref="B33:B35"/>
    <mergeCell ref="C33:C35"/>
    <mergeCell ref="A36:A38"/>
    <mergeCell ref="B36:B38"/>
    <mergeCell ref="C36:C38"/>
    <mergeCell ref="A39:A41"/>
    <mergeCell ref="B39:B41"/>
    <mergeCell ref="C39:C41"/>
    <mergeCell ref="A44:A46"/>
    <mergeCell ref="B44:B47"/>
    <mergeCell ref="C44:C47"/>
    <mergeCell ref="A49:A51"/>
    <mergeCell ref="B49:B51"/>
    <mergeCell ref="C49:C51"/>
    <mergeCell ref="A60:A62"/>
    <mergeCell ref="B60:B62"/>
    <mergeCell ref="C60:C64"/>
    <mergeCell ref="A68:A70"/>
    <mergeCell ref="B68:B70"/>
    <mergeCell ref="C68:C70"/>
    <mergeCell ref="A72:A74"/>
    <mergeCell ref="B72:B74"/>
    <mergeCell ref="C72:C74"/>
    <mergeCell ref="A75:A78"/>
    <mergeCell ref="B75:B78"/>
    <mergeCell ref="C75:C78"/>
    <mergeCell ref="L76:L77"/>
    <mergeCell ref="A92:A95"/>
    <mergeCell ref="B92:B95"/>
    <mergeCell ref="C92:C95"/>
    <mergeCell ref="A120:A121"/>
    <mergeCell ref="B120:B121"/>
    <mergeCell ref="C120:C121"/>
    <mergeCell ref="A96:A98"/>
    <mergeCell ref="B96:B98"/>
    <mergeCell ref="C96:C98"/>
    <mergeCell ref="A105:A107"/>
    <mergeCell ref="B105:B107"/>
    <mergeCell ref="C105:C107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colBreaks count="1" manualBreakCount="1">
    <brk id="11" max="1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август</vt:lpstr>
      <vt:lpstr>август!Заголовки_для_печати</vt:lpstr>
      <vt:lpstr>август!Область_печати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2017-09-11T07:27:33Z</dcterms:modified>
</cp:coreProperties>
</file>