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(2)'!$15:$18</definedName>
    <definedName name="_xlnm.Print_Area" localSheetId="0">'Лист1'!$A$1:$P$47</definedName>
    <definedName name="_xlnm.Print_Area" localSheetId="1">'Лист1 (2)'!$A$1:$T$42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  <author>Сметанина Н.А.</author>
  </authors>
  <commentList>
    <comment ref="O3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M45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5 500,4 - 612 по первоначальному плану на 2020 год</t>
        </r>
      </text>
    </comment>
  </commentList>
</comments>
</file>

<file path=xl/sharedStrings.xml><?xml version="1.0" encoding="utf-8"?>
<sst xmlns="http://schemas.openxmlformats.org/spreadsheetml/2006/main" count="167" uniqueCount="110">
  <si>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</si>
  <si>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</si>
  <si>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</si>
  <si>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</si>
  <si>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</si>
  <si>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</si>
  <si>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</si>
  <si>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</si>
  <si>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</si>
  <si>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</si>
  <si>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</si>
  <si>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</si>
  <si>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</si>
  <si>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</si>
  <si>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</si>
  <si>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</si>
  <si>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</si>
  <si>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</si>
  <si>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</si>
  <si>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</si>
  <si>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</si>
  <si>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</si>
  <si>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</si>
  <si>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</si>
  <si>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</si>
  <si>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</si>
  <si>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</si>
  <si>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</si>
  <si>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</si>
  <si>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</si>
  <si>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</si>
  <si>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</si>
  <si>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</si>
  <si>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</si>
  <si>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</si>
  <si>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</si>
  <si>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</si>
  <si>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</si>
  <si>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</si>
  <si>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</si>
  <si>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</si>
  <si>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</si>
  <si>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</si>
  <si>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</si>
  <si>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</si>
  <si>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</si>
  <si>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</si>
  <si>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</si>
  <si>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</si>
  <si>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</si>
  <si>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</si>
  <si>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</si>
  <si>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</si>
  <si>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</si>
  <si>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</si>
  <si>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</si>
  <si>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1-4 кл</t>
  </si>
  <si>
    <t>5-9 кл</t>
  </si>
  <si>
    <t>10-11 кл</t>
  </si>
  <si>
    <t>всего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</si>
  <si>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</si>
  <si>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</si>
  <si>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</si>
  <si>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</si>
  <si>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</si>
  <si>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</si>
  <si>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</si>
  <si>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</si>
  <si>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</si>
  <si>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</si>
  <si>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</si>
  <si>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</si>
  <si>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</si>
  <si>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</si>
  <si>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</si>
  <si>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</si>
  <si>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</si>
  <si>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</si>
  <si>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</si>
  <si>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</si>
  <si>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</si>
  <si>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</si>
  <si>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</si>
  <si>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</si>
  <si>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</si>
  <si>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</si>
  <si>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</si>
  <si>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</si>
  <si>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</si>
  <si>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единица</t>
  </si>
  <si>
    <t>сред.2021</t>
  </si>
  <si>
    <t>на 01.09.2019</t>
  </si>
  <si>
    <t>на 01.09.2020</t>
  </si>
  <si>
    <t>на 01.09.2021</t>
  </si>
  <si>
    <t>на 01.09.2016</t>
  </si>
  <si>
    <t>на 01.09.2017</t>
  </si>
  <si>
    <t>на 01.09.2018</t>
  </si>
  <si>
    <t>на 01.09.2015</t>
  </si>
  <si>
    <t>2023 г</t>
  </si>
  <si>
    <t>2022 г</t>
  </si>
  <si>
    <t>2024 г</t>
  </si>
  <si>
    <t>2025 г</t>
  </si>
  <si>
    <t>2026 г</t>
  </si>
  <si>
    <t>по 2021 году</t>
  </si>
  <si>
    <t>2021 г</t>
  </si>
  <si>
    <t>«Развитие образования в городе Пензе на 2020 - 2026 годы»</t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</si>
  <si>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2020 - 2026 годы</t>
    </r>
    <r>
      <rPr>
        <sz val="11"/>
        <color indexed="8"/>
        <rFont val="Times New Roman"/>
        <family val="1"/>
      </rPr>
      <t>»</t>
    </r>
  </si>
  <si>
    <t>по 2020 году</t>
  </si>
  <si>
    <t>Мероприятие. 1.7. Организация отдыха детей в загородных стационарных детских лагерях в каникулярное время</t>
  </si>
  <si>
    <t>Мероприятие 1.17. Организация мероприятий в общеобразовательных учреждениях и учреждениях дополнительного образования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</si>
</sst>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  <numFmt numFmtId="177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/>
    </xf>
    <xf numFmtId="172" fontId="54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3" fontId="9" fillId="0" borderId="0" xfId="0" applyNumberFormat="1" applyFont="1" applyFill="1" applyBorder="1" applyAlignment="1">
      <alignment/>
    </xf>
    <xf numFmtId="173" fontId="1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 vertical="top" wrapText="1"/>
    </xf>
    <xf numFmtId="177" fontId="17" fillId="0" borderId="10" xfId="0" applyNumberFormat="1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6%20(20-26)%20&#1075;&#1086;&#1090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16">
          <cell r="M16">
            <v>560946</v>
          </cell>
        </row>
        <row r="17">
          <cell r="M17">
            <v>9357</v>
          </cell>
        </row>
        <row r="19">
          <cell r="M19">
            <v>1876913.9</v>
          </cell>
        </row>
        <row r="20">
          <cell r="M20">
            <v>34805.2</v>
          </cell>
        </row>
        <row r="21">
          <cell r="M21">
            <v>1795561.4</v>
          </cell>
        </row>
        <row r="22">
          <cell r="M22">
            <v>31435.5</v>
          </cell>
        </row>
        <row r="23">
          <cell r="M23">
            <v>334530.70800000004</v>
          </cell>
        </row>
        <row r="24">
          <cell r="M24">
            <v>6238.638</v>
          </cell>
        </row>
        <row r="25">
          <cell r="M25">
            <v>328945.91399999993</v>
          </cell>
        </row>
        <row r="26">
          <cell r="M26">
            <v>36110.4</v>
          </cell>
        </row>
        <row r="27">
          <cell r="M27">
            <v>5226.6</v>
          </cell>
        </row>
        <row r="30">
          <cell r="M30">
            <v>22152</v>
          </cell>
        </row>
        <row r="58">
          <cell r="M58">
            <v>12.4</v>
          </cell>
        </row>
        <row r="59">
          <cell r="M59">
            <v>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64" t="s">
        <v>48</v>
      </c>
      <c r="O1" s="64"/>
      <c r="P1" s="64"/>
    </row>
    <row r="2" spans="13:16" ht="15">
      <c r="M2" s="65" t="s">
        <v>45</v>
      </c>
      <c r="N2" s="65"/>
      <c r="O2" s="65"/>
      <c r="P2" s="65"/>
    </row>
    <row r="3" spans="13:16" ht="15">
      <c r="M3" s="10"/>
      <c r="N3" s="66" t="s">
        <v>46</v>
      </c>
      <c r="O3" s="66"/>
      <c r="P3" s="66"/>
    </row>
    <row r="4" spans="13:16" ht="15">
      <c r="M4" s="10"/>
      <c r="N4" s="11"/>
      <c r="O4" s="11"/>
      <c r="P4" s="11"/>
    </row>
    <row r="5" ht="15"/>
    <row r="6" spans="11:16" ht="15">
      <c r="K6" s="63" t="s">
        <v>32</v>
      </c>
      <c r="L6" s="63"/>
      <c r="M6" s="63"/>
      <c r="N6" s="63"/>
      <c r="O6" s="63"/>
      <c r="P6" s="63"/>
    </row>
    <row r="7" spans="11:16" ht="15">
      <c r="K7" s="63" t="s">
        <v>21</v>
      </c>
      <c r="L7" s="63"/>
      <c r="M7" s="63"/>
      <c r="N7" s="63"/>
      <c r="O7" s="63"/>
      <c r="P7" s="63"/>
    </row>
    <row r="8" spans="11:16" ht="15">
      <c r="K8" s="63" t="s">
        <v>33</v>
      </c>
      <c r="L8" s="63"/>
      <c r="M8" s="63"/>
      <c r="N8" s="63"/>
      <c r="O8" s="63"/>
      <c r="P8" s="63"/>
    </row>
    <row r="9" ht="15"/>
    <row r="10" ht="15" hidden="1"/>
    <row r="11" ht="15"/>
    <row r="12" ht="15">
      <c r="A12" s="12"/>
    </row>
    <row r="13" spans="1:16" ht="15">
      <c r="A13" s="82" t="s">
        <v>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5">
      <c r="A14" s="82" t="s">
        <v>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5">
      <c r="A15" s="82" t="s">
        <v>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5">
      <c r="A16" s="82" t="s">
        <v>34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5">
      <c r="A17" s="82" t="s">
        <v>35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5">
      <c r="A20" s="68" t="s">
        <v>36</v>
      </c>
      <c r="B20" s="68" t="s">
        <v>3</v>
      </c>
      <c r="C20" s="68" t="s">
        <v>4</v>
      </c>
      <c r="D20" s="74" t="s">
        <v>31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</row>
    <row r="21" spans="1:16" s="6" customFormat="1" ht="12.75">
      <c r="A21" s="68"/>
      <c r="B21" s="68"/>
      <c r="C21" s="68"/>
      <c r="D21" s="68" t="s">
        <v>14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s="6" customFormat="1" ht="27" customHeight="1">
      <c r="A22" s="68"/>
      <c r="B22" s="68"/>
      <c r="C22" s="68"/>
      <c r="D22" s="73" t="s">
        <v>5</v>
      </c>
      <c r="E22" s="68" t="s">
        <v>6</v>
      </c>
      <c r="F22" s="68"/>
      <c r="G22" s="68"/>
      <c r="H22" s="68"/>
      <c r="I22" s="68"/>
      <c r="J22" s="68"/>
      <c r="K22" s="68" t="s">
        <v>7</v>
      </c>
      <c r="L22" s="68"/>
      <c r="M22" s="68"/>
      <c r="N22" s="68"/>
      <c r="O22" s="68"/>
      <c r="P22" s="68"/>
    </row>
    <row r="23" spans="1:16" s="6" customFormat="1" ht="30" customHeight="1">
      <c r="A23" s="68"/>
      <c r="B23" s="68"/>
      <c r="C23" s="68"/>
      <c r="D23" s="73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9"/>
      <c r="B24" s="77" t="s">
        <v>15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s="6" customFormat="1" ht="16.5" customHeight="1">
      <c r="A25" s="80"/>
      <c r="B25" s="78" t="s">
        <v>14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s="6" customFormat="1" ht="25.5" customHeight="1">
      <c r="A26" s="80"/>
      <c r="B26" s="69" t="s">
        <v>37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6" customFormat="1" ht="26.25" customHeight="1">
      <c r="A27" s="81"/>
      <c r="B27" s="70" t="s">
        <v>41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9"/>
      <c r="B29" s="69" t="s">
        <v>42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6" customFormat="1" ht="27.75" customHeight="1">
      <c r="A30" s="81"/>
      <c r="B30" s="70" t="s">
        <v>41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67" t="s">
        <v>38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67" t="s">
        <v>39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67" t="s">
        <v>40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67" t="s">
        <v>43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A44" sqref="A44:IV59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5" customWidth="1"/>
    <col min="6" max="6" width="7.28125" style="5" customWidth="1"/>
    <col min="7" max="7" width="7.28125" style="17" customWidth="1"/>
    <col min="8" max="8" width="7.8515625" style="5" customWidth="1"/>
    <col min="9" max="9" width="7.7109375" style="5" customWidth="1"/>
    <col min="10" max="10" width="7.421875" style="5" customWidth="1"/>
    <col min="11" max="11" width="7.140625" style="5" customWidth="1"/>
    <col min="12" max="12" width="11.28125" style="5" customWidth="1"/>
    <col min="13" max="13" width="10.00390625" style="5" customWidth="1"/>
    <col min="14" max="14" width="10.140625" style="5" customWidth="1"/>
    <col min="15" max="15" width="10.00390625" style="17" customWidth="1"/>
    <col min="16" max="18" width="10.00390625" style="5" customWidth="1"/>
    <col min="19" max="19" width="10.57421875" style="5" customWidth="1"/>
    <col min="20" max="20" width="11.00390625" style="5" customWidth="1"/>
    <col min="21" max="21" width="9.140625" style="25" customWidth="1"/>
    <col min="22" max="22" width="0" style="25" hidden="1" customWidth="1"/>
    <col min="23" max="23" width="12.28125" style="25" hidden="1" customWidth="1"/>
    <col min="24" max="24" width="12.140625" style="25" hidden="1" customWidth="1"/>
    <col min="25" max="25" width="11.00390625" style="25" hidden="1" customWidth="1"/>
    <col min="26" max="29" width="12.140625" style="25" hidden="1" customWidth="1"/>
    <col min="30" max="30" width="14.57421875" style="25" hidden="1" customWidth="1"/>
    <col min="31" max="31" width="13.421875" style="25" hidden="1" customWidth="1"/>
    <col min="32" max="32" width="13.57421875" style="25" hidden="1" customWidth="1"/>
    <col min="33" max="33" width="14.421875" style="25" hidden="1" customWidth="1"/>
    <col min="34" max="35" width="12.7109375" style="25" hidden="1" customWidth="1"/>
    <col min="36" max="39" width="9.140625" style="25" customWidth="1"/>
    <col min="40" max="16384" width="9.140625" style="5" customWidth="1"/>
  </cols>
  <sheetData>
    <row r="1" spans="15:20" s="25" customFormat="1" ht="15">
      <c r="O1" s="65" t="s">
        <v>32</v>
      </c>
      <c r="P1" s="65"/>
      <c r="Q1" s="65"/>
      <c r="R1" s="65"/>
      <c r="S1" s="65"/>
      <c r="T1" s="65"/>
    </row>
    <row r="2" spans="15:20" s="25" customFormat="1" ht="15">
      <c r="O2" s="45"/>
      <c r="P2" s="45"/>
      <c r="Q2" s="45"/>
      <c r="R2" s="45"/>
      <c r="S2" s="45"/>
      <c r="T2" s="40" t="s">
        <v>21</v>
      </c>
    </row>
    <row r="3" spans="15:20" s="25" customFormat="1" ht="15">
      <c r="O3" s="45"/>
      <c r="P3" s="45"/>
      <c r="Q3" s="45"/>
      <c r="R3" s="45"/>
      <c r="S3" s="45"/>
      <c r="T3" s="40" t="s">
        <v>105</v>
      </c>
    </row>
    <row r="4" ht="15"/>
    <row r="5" ht="15" hidden="1"/>
    <row r="6" ht="15"/>
    <row r="7" spans="1:20" ht="15">
      <c r="A7" s="37"/>
      <c r="Q7" s="24"/>
      <c r="R7" s="24"/>
      <c r="S7" s="24"/>
      <c r="T7" s="24"/>
    </row>
    <row r="8" spans="1:20" ht="15">
      <c r="A8" s="82" t="s">
        <v>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5">
      <c r="A9" s="82" t="s">
        <v>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5">
      <c r="A10" s="82" t="s">
        <v>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15">
      <c r="A11" s="82" t="s">
        <v>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5">
      <c r="A12" s="82" t="s">
        <v>106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5">
      <c r="A13" s="38"/>
      <c r="B13" s="13"/>
      <c r="C13" s="13"/>
      <c r="D13" s="13"/>
      <c r="E13" s="13"/>
      <c r="F13" s="13"/>
      <c r="G13" s="18"/>
      <c r="H13" s="13"/>
      <c r="I13" s="13"/>
      <c r="J13" s="13"/>
      <c r="K13" s="13"/>
      <c r="L13" s="13"/>
      <c r="M13" s="13"/>
      <c r="N13" s="13"/>
      <c r="O13" s="18"/>
      <c r="P13" s="13"/>
      <c r="Q13" s="22"/>
      <c r="R13" s="21"/>
      <c r="S13" s="21"/>
      <c r="T13" s="21"/>
    </row>
    <row r="14" spans="1:20" ht="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3"/>
    </row>
    <row r="15" spans="1:20" ht="15">
      <c r="A15" s="84" t="s">
        <v>36</v>
      </c>
      <c r="B15" s="68" t="s">
        <v>3</v>
      </c>
      <c r="C15" s="68" t="s">
        <v>4</v>
      </c>
      <c r="D15" s="88" t="s">
        <v>31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1:39" s="6" customFormat="1" ht="12.75" customHeight="1">
      <c r="A16" s="84"/>
      <c r="B16" s="68"/>
      <c r="C16" s="68"/>
      <c r="D16" s="68" t="s">
        <v>14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6" customFormat="1" ht="27" customHeight="1">
      <c r="A17" s="84"/>
      <c r="B17" s="68"/>
      <c r="C17" s="68"/>
      <c r="D17" s="68" t="s">
        <v>85</v>
      </c>
      <c r="E17" s="89" t="s">
        <v>86</v>
      </c>
      <c r="F17" s="90"/>
      <c r="G17" s="90"/>
      <c r="H17" s="90"/>
      <c r="I17" s="90"/>
      <c r="J17" s="90"/>
      <c r="K17" s="90"/>
      <c r="L17" s="91"/>
      <c r="M17" s="89" t="s">
        <v>87</v>
      </c>
      <c r="N17" s="90"/>
      <c r="O17" s="90"/>
      <c r="P17" s="90"/>
      <c r="Q17" s="90"/>
      <c r="R17" s="90"/>
      <c r="S17" s="90"/>
      <c r="T17" s="91"/>
      <c r="U17" s="31"/>
      <c r="V17" s="31"/>
      <c r="W17" s="32" t="s">
        <v>97</v>
      </c>
      <c r="X17" s="32" t="s">
        <v>94</v>
      </c>
      <c r="Y17" s="32" t="s">
        <v>95</v>
      </c>
      <c r="Z17" s="32" t="s">
        <v>96</v>
      </c>
      <c r="AA17" s="32" t="s">
        <v>91</v>
      </c>
      <c r="AB17" s="32" t="s">
        <v>92</v>
      </c>
      <c r="AC17" s="32" t="s">
        <v>93</v>
      </c>
      <c r="AD17" s="32" t="s">
        <v>60</v>
      </c>
      <c r="AE17" s="32" t="s">
        <v>61</v>
      </c>
      <c r="AF17" s="32" t="s">
        <v>62</v>
      </c>
      <c r="AG17" s="32" t="s">
        <v>63</v>
      </c>
      <c r="AH17" s="32" t="s">
        <v>64</v>
      </c>
      <c r="AI17" s="32" t="s">
        <v>90</v>
      </c>
      <c r="AJ17" s="31"/>
      <c r="AK17" s="31"/>
      <c r="AL17" s="31"/>
      <c r="AM17" s="31"/>
    </row>
    <row r="18" spans="1:39" s="6" customFormat="1" ht="55.5" customHeight="1">
      <c r="A18" s="84"/>
      <c r="B18" s="68"/>
      <c r="C18" s="68"/>
      <c r="D18" s="68"/>
      <c r="E18" s="4" t="s">
        <v>9</v>
      </c>
      <c r="F18" s="7" t="s">
        <v>104</v>
      </c>
      <c r="G18" s="4" t="s">
        <v>99</v>
      </c>
      <c r="H18" s="7" t="s">
        <v>98</v>
      </c>
      <c r="I18" s="7" t="s">
        <v>100</v>
      </c>
      <c r="J18" s="7" t="s">
        <v>101</v>
      </c>
      <c r="K18" s="7" t="s">
        <v>102</v>
      </c>
      <c r="L18" s="7" t="s">
        <v>88</v>
      </c>
      <c r="M18" s="4" t="s">
        <v>9</v>
      </c>
      <c r="N18" s="7" t="s">
        <v>104</v>
      </c>
      <c r="O18" s="4" t="s">
        <v>99</v>
      </c>
      <c r="P18" s="7" t="s">
        <v>98</v>
      </c>
      <c r="Q18" s="7" t="s">
        <v>100</v>
      </c>
      <c r="R18" s="7" t="s">
        <v>101</v>
      </c>
      <c r="S18" s="7" t="s">
        <v>102</v>
      </c>
      <c r="T18" s="7" t="s">
        <v>88</v>
      </c>
      <c r="U18" s="31"/>
      <c r="V18" s="31" t="s">
        <v>56</v>
      </c>
      <c r="W18" s="31">
        <v>20128</v>
      </c>
      <c r="X18" s="31">
        <v>21291</v>
      </c>
      <c r="Y18" s="31">
        <v>22297</v>
      </c>
      <c r="Z18" s="31">
        <v>23141</v>
      </c>
      <c r="AA18" s="31">
        <v>23341</v>
      </c>
      <c r="AB18" s="31">
        <v>23229</v>
      </c>
      <c r="AC18" s="31">
        <v>22950</v>
      </c>
      <c r="AD18" s="31">
        <f>ROUND((W18*2+X18)/3,0)</f>
        <v>20516</v>
      </c>
      <c r="AE18" s="31">
        <f>ROUND((X18*2+Y18)/3,0)</f>
        <v>21626</v>
      </c>
      <c r="AF18" s="31">
        <f>ROUND((Y18*2+Z18)/3,0)</f>
        <v>22578</v>
      </c>
      <c r="AG18" s="31">
        <f>ROUND((Z18*2+AA18)/3,0)-1</f>
        <v>23207</v>
      </c>
      <c r="AH18" s="31">
        <f>ROUND((AA18*2+AB18)/3,0)</f>
        <v>23304</v>
      </c>
      <c r="AI18" s="31">
        <f>ROUND((AB18*2+AC18)/3,0)</f>
        <v>23136</v>
      </c>
      <c r="AJ18" s="31"/>
      <c r="AK18" s="31"/>
      <c r="AL18" s="31"/>
      <c r="AM18" s="31"/>
    </row>
    <row r="19" spans="1:35" s="31" customFormat="1" ht="18" customHeight="1">
      <c r="A19" s="84"/>
      <c r="B19" s="87" t="s">
        <v>15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V19" s="31" t="s">
        <v>57</v>
      </c>
      <c r="W19" s="31">
        <v>20908</v>
      </c>
      <c r="X19" s="31">
        <v>21698</v>
      </c>
      <c r="Y19" s="31">
        <v>22308</v>
      </c>
      <c r="Z19" s="31">
        <v>23131</v>
      </c>
      <c r="AA19" s="31">
        <v>24340</v>
      </c>
      <c r="AB19" s="31">
        <v>25608</v>
      </c>
      <c r="AC19" s="31">
        <v>27028</v>
      </c>
      <c r="AD19" s="31">
        <f>ROUND((W19*2+X19)/3,0)</f>
        <v>21171</v>
      </c>
      <c r="AE19" s="31">
        <f>ROUND((X19*2+Y19)/3,0)+1</f>
        <v>21902</v>
      </c>
      <c r="AF19" s="31">
        <f>ROUND((Y19*2+Z19)/3,0)</f>
        <v>22582</v>
      </c>
      <c r="AG19" s="31">
        <f>ROUND((Z19*2+AA19)/3,0)</f>
        <v>23534</v>
      </c>
      <c r="AH19" s="31">
        <f>ROUND((AA19*2+AB19)/3,0)-1</f>
        <v>24762</v>
      </c>
      <c r="AI19" s="31">
        <f>ROUND((AB19*2+AC19)/3,0)+1</f>
        <v>26082</v>
      </c>
    </row>
    <row r="20" spans="1:35" s="31" customFormat="1" ht="16.5" customHeight="1">
      <c r="A20" s="84"/>
      <c r="B20" s="85" t="s">
        <v>14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V20" s="31" t="s">
        <v>58</v>
      </c>
      <c r="W20" s="31">
        <v>4339</v>
      </c>
      <c r="X20" s="31">
        <v>4346</v>
      </c>
      <c r="Y20" s="31">
        <v>4415</v>
      </c>
      <c r="Z20" s="31">
        <v>4538</v>
      </c>
      <c r="AA20" s="31">
        <v>4748</v>
      </c>
      <c r="AB20" s="31">
        <v>4978</v>
      </c>
      <c r="AC20" s="31">
        <v>5146</v>
      </c>
      <c r="AD20" s="31">
        <f>ROUND((W20*2+X20)/3,0)</f>
        <v>4341</v>
      </c>
      <c r="AE20" s="31">
        <f>ROUND((X20*2+Y20)/3,0)</f>
        <v>4369</v>
      </c>
      <c r="AF20" s="31">
        <f>ROUND((Y20*2+Z20)/3,0)</f>
        <v>4456</v>
      </c>
      <c r="AG20" s="31">
        <f>ROUND((Z20*2+AA20)/3,0)</f>
        <v>4608</v>
      </c>
      <c r="AH20" s="31">
        <f>ROUND((AA20*2+AB20)/3,0)-1</f>
        <v>4824</v>
      </c>
      <c r="AI20" s="31">
        <f>ROUND((AB20*2+AC20)/3,0)</f>
        <v>5034</v>
      </c>
    </row>
    <row r="21" spans="1:35" s="31" customFormat="1" ht="12.75">
      <c r="A21" s="34"/>
      <c r="B21" s="85" t="s">
        <v>41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V21" s="31" t="s">
        <v>59</v>
      </c>
      <c r="W21" s="31">
        <f aca="true" t="shared" si="0" ref="W21:AC21">W18+W19+W20</f>
        <v>45375</v>
      </c>
      <c r="X21" s="31">
        <f t="shared" si="0"/>
        <v>47335</v>
      </c>
      <c r="Y21" s="31">
        <f t="shared" si="0"/>
        <v>49020</v>
      </c>
      <c r="Z21" s="31">
        <f t="shared" si="0"/>
        <v>50810</v>
      </c>
      <c r="AA21" s="31">
        <f t="shared" si="0"/>
        <v>52429</v>
      </c>
      <c r="AB21" s="31">
        <f t="shared" si="0"/>
        <v>53815</v>
      </c>
      <c r="AC21" s="31">
        <f t="shared" si="0"/>
        <v>55124</v>
      </c>
      <c r="AD21" s="31">
        <f aca="true" t="shared" si="1" ref="AD21:AI21">AD18+AD19+AD20</f>
        <v>46028</v>
      </c>
      <c r="AE21" s="31">
        <f t="shared" si="1"/>
        <v>47897</v>
      </c>
      <c r="AF21" s="31">
        <f t="shared" si="1"/>
        <v>49616</v>
      </c>
      <c r="AG21" s="31">
        <f t="shared" si="1"/>
        <v>51349</v>
      </c>
      <c r="AH21" s="31">
        <f t="shared" si="1"/>
        <v>52890</v>
      </c>
      <c r="AI21" s="31">
        <f t="shared" si="1"/>
        <v>54252</v>
      </c>
    </row>
    <row r="22" spans="1:39" s="30" customFormat="1" ht="43.5" customHeight="1">
      <c r="A22" s="4">
        <v>1</v>
      </c>
      <c r="B22" s="34" t="s">
        <v>50</v>
      </c>
      <c r="C22" s="34" t="s">
        <v>66</v>
      </c>
      <c r="D22" s="4" t="s">
        <v>67</v>
      </c>
      <c r="E22" s="4">
        <v>29989</v>
      </c>
      <c r="F22" s="4">
        <v>30904</v>
      </c>
      <c r="G22" s="4">
        <f>F22</f>
        <v>30904</v>
      </c>
      <c r="H22" s="4">
        <f>G22</f>
        <v>30904</v>
      </c>
      <c r="I22" s="4">
        <f>H22</f>
        <v>30904</v>
      </c>
      <c r="J22" s="4">
        <f>I22</f>
        <v>30904</v>
      </c>
      <c r="K22" s="4">
        <f>J22</f>
        <v>30904</v>
      </c>
      <c r="L22" s="4">
        <f>H22+I22+J22+K22+G22+E22+F22</f>
        <v>215413</v>
      </c>
      <c r="M22" s="50">
        <v>1911719.1</v>
      </c>
      <c r="N22" s="50">
        <v>2037338.3</v>
      </c>
      <c r="O22" s="50">
        <f>N22</f>
        <v>2037338.3</v>
      </c>
      <c r="P22" s="3">
        <f>O22</f>
        <v>2037338.3</v>
      </c>
      <c r="Q22" s="3">
        <f>P22</f>
        <v>2037338.3</v>
      </c>
      <c r="R22" s="3">
        <f>Q22</f>
        <v>2037338.3</v>
      </c>
      <c r="S22" s="3">
        <f>R22</f>
        <v>2037338.3</v>
      </c>
      <c r="T22" s="3">
        <f>P22+Q22+R22+S22+O22+M22+N22</f>
        <v>14135748.9</v>
      </c>
      <c r="X22" s="31"/>
      <c r="Y22" s="31"/>
      <c r="Z22" s="55" t="s">
        <v>77</v>
      </c>
      <c r="AA22" s="31"/>
      <c r="AB22" s="31"/>
      <c r="AC22" s="31"/>
      <c r="AD22" s="56">
        <f>292372.9+19.2-1920.7-54.1-1408+43-1419.2-35.3-23.9+54.1+12.8-793.8-0.7+33.4-25.3-157.8+78.8+428.7+20.1+8182.6+397.4+14.1+93.29</f>
        <v>295911.58999999997</v>
      </c>
      <c r="AE22" s="28">
        <f>287444.6-91.1-107.4-4704.5-334.5-399.8-427.3-384.913-1413.8-118.5+804.1+89.1+1.8+715.4+160+189.5+230.7+13192.42853+726.21652+46+315.416</f>
        <v>295933.44805</v>
      </c>
      <c r="AF22" s="56">
        <f>346615.2+237.3-7.3+79.1-50.2+3004.223+71.711+10.266-596.28445+1000-114.35007-20.527-216.76379+250.3+5008.807+233.193</f>
        <v>355504.67469</v>
      </c>
      <c r="AG22" s="57">
        <f>335328.7-1266.9+1264.1+35.9+53.9-1.14+920.9+19.5-3.76-5895.3-3.37-1.93-6.35</f>
        <v>330444.25000000006</v>
      </c>
      <c r="AH22" s="28">
        <f>340741.8+54.4-1.16-3.81-7.742-3.162-10.98</f>
        <v>340769.346</v>
      </c>
      <c r="AI22" s="28">
        <f>343179.9+54.4-1.16-3.81-7.742-3.162-10.98</f>
        <v>343207.44600000005</v>
      </c>
      <c r="AJ22" s="31"/>
      <c r="AK22" s="31"/>
      <c r="AL22" s="31"/>
      <c r="AM22" s="31"/>
    </row>
    <row r="23" spans="1:39" s="30" customFormat="1" ht="17.25" customHeight="1">
      <c r="A23" s="48"/>
      <c r="B23" s="85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X23" s="31"/>
      <c r="Y23" s="31"/>
      <c r="Z23" s="31"/>
      <c r="AA23" s="31"/>
      <c r="AB23" s="31"/>
      <c r="AC23" s="31"/>
      <c r="AD23" s="31">
        <f aca="true" t="shared" si="2" ref="AD23:AI23">AD22/AD21</f>
        <v>6.42894737985574</v>
      </c>
      <c r="AE23" s="31">
        <f t="shared" si="2"/>
        <v>6.178538281103201</v>
      </c>
      <c r="AF23" s="31">
        <f t="shared" si="2"/>
        <v>7.16512162790229</v>
      </c>
      <c r="AG23" s="31">
        <f t="shared" si="2"/>
        <v>6.43526164092777</v>
      </c>
      <c r="AH23" s="31">
        <f t="shared" si="2"/>
        <v>6.442982529778787</v>
      </c>
      <c r="AI23" s="31">
        <f t="shared" si="2"/>
        <v>6.326171311656714</v>
      </c>
      <c r="AJ23" s="31"/>
      <c r="AK23" s="31"/>
      <c r="AL23" s="31"/>
      <c r="AM23" s="31"/>
    </row>
    <row r="24" spans="1:39" s="30" customFormat="1" ht="18" customHeight="1">
      <c r="A24" s="4">
        <v>2</v>
      </c>
      <c r="B24" s="34" t="s">
        <v>51</v>
      </c>
      <c r="C24" s="34" t="s">
        <v>70</v>
      </c>
      <c r="D24" s="4" t="s">
        <v>67</v>
      </c>
      <c r="E24" s="4">
        <v>29989</v>
      </c>
      <c r="F24" s="4">
        <v>30904</v>
      </c>
      <c r="G24" s="4">
        <f>F24</f>
        <v>30904</v>
      </c>
      <c r="H24" s="4">
        <f>H22</f>
        <v>30904</v>
      </c>
      <c r="I24" s="4">
        <f>I22</f>
        <v>30904</v>
      </c>
      <c r="J24" s="4">
        <f>J22</f>
        <v>30904</v>
      </c>
      <c r="K24" s="4">
        <f>K22</f>
        <v>30904</v>
      </c>
      <c r="L24" s="4">
        <f>H24+I24+J24+K24+G24+E24+F24</f>
        <v>215413</v>
      </c>
      <c r="M24" s="50">
        <v>564802.6</v>
      </c>
      <c r="N24" s="50">
        <v>576600.8</v>
      </c>
      <c r="O24" s="50">
        <f>N24</f>
        <v>576600.8</v>
      </c>
      <c r="P24" s="3">
        <f>O24</f>
        <v>576600.8</v>
      </c>
      <c r="Q24" s="3">
        <f>P24</f>
        <v>576600.8</v>
      </c>
      <c r="R24" s="3">
        <f>Q24</f>
        <v>576600.8</v>
      </c>
      <c r="S24" s="3">
        <f>R24</f>
        <v>576600.8</v>
      </c>
      <c r="T24" s="3">
        <f>P24+Q24+R24+S24+O24+M24+N24</f>
        <v>4024407.4000000004</v>
      </c>
      <c r="X24" s="31"/>
      <c r="Y24" s="31"/>
      <c r="Z24" s="33"/>
      <c r="AA24" s="33"/>
      <c r="AB24" s="33"/>
      <c r="AC24" s="33"/>
      <c r="AD24" s="33">
        <v>2016</v>
      </c>
      <c r="AE24" s="33">
        <v>2017</v>
      </c>
      <c r="AF24" s="33">
        <v>2018</v>
      </c>
      <c r="AG24" s="33">
        <v>2019</v>
      </c>
      <c r="AH24" s="33">
        <v>2020</v>
      </c>
      <c r="AI24" s="33">
        <v>2021</v>
      </c>
      <c r="AJ24" s="31"/>
      <c r="AK24" s="31"/>
      <c r="AL24" s="31"/>
      <c r="AM24" s="31"/>
    </row>
    <row r="25" spans="1:35" s="31" customFormat="1" ht="12.75" customHeight="1">
      <c r="A25" s="84"/>
      <c r="B25" s="85" t="s">
        <v>42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Y25" s="31">
        <f>AD25/AD22</f>
        <v>0.44572873945221275</v>
      </c>
      <c r="Z25" s="33" t="s">
        <v>56</v>
      </c>
      <c r="AA25" s="33"/>
      <c r="AB25" s="33"/>
      <c r="AC25" s="33"/>
      <c r="AD25" s="27">
        <f aca="true" t="shared" si="3" ref="AD25:AI25">ROUND(AD18*AD23,1)</f>
        <v>131896.3</v>
      </c>
      <c r="AE25" s="27">
        <f t="shared" si="3"/>
        <v>133617.1</v>
      </c>
      <c r="AF25" s="27">
        <f t="shared" si="3"/>
        <v>161774.1</v>
      </c>
      <c r="AG25" s="27">
        <f t="shared" si="3"/>
        <v>149343.1</v>
      </c>
      <c r="AH25" s="27">
        <f t="shared" si="3"/>
        <v>150147.3</v>
      </c>
      <c r="AI25" s="27">
        <f t="shared" si="3"/>
        <v>146362.3</v>
      </c>
    </row>
    <row r="26" spans="1:35" s="31" customFormat="1" ht="12.75">
      <c r="A26" s="84"/>
      <c r="B26" s="85" t="s">
        <v>41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Y26" s="31">
        <f>AD26/AD22</f>
        <v>0.45995900329554523</v>
      </c>
      <c r="Z26" s="33" t="s">
        <v>57</v>
      </c>
      <c r="AA26" s="33"/>
      <c r="AB26" s="33"/>
      <c r="AC26" s="33"/>
      <c r="AD26" s="27">
        <f aca="true" t="shared" si="4" ref="AD26:AI26">ROUND(AD19*AD23,1)</f>
        <v>136107.2</v>
      </c>
      <c r="AE26" s="27">
        <f t="shared" si="4"/>
        <v>135322.3</v>
      </c>
      <c r="AF26" s="27">
        <f t="shared" si="4"/>
        <v>161802.8</v>
      </c>
      <c r="AG26" s="27">
        <f t="shared" si="4"/>
        <v>151447.4</v>
      </c>
      <c r="AH26" s="27">
        <f t="shared" si="4"/>
        <v>159541.1</v>
      </c>
      <c r="AI26" s="27">
        <f t="shared" si="4"/>
        <v>164999.2</v>
      </c>
    </row>
    <row r="27" spans="1:39" s="30" customFormat="1" ht="51">
      <c r="A27" s="4">
        <v>3</v>
      </c>
      <c r="B27" s="34" t="s">
        <v>52</v>
      </c>
      <c r="C27" s="34" t="s">
        <v>66</v>
      </c>
      <c r="D27" s="4" t="s">
        <v>67</v>
      </c>
      <c r="E27" s="4">
        <f>AH18-AH36</f>
        <v>22832</v>
      </c>
      <c r="F27" s="4">
        <f>AI18-F30</f>
        <v>22698</v>
      </c>
      <c r="G27" s="4">
        <v>22698</v>
      </c>
      <c r="H27" s="4">
        <f>G27</f>
        <v>22698</v>
      </c>
      <c r="I27" s="4">
        <f>H27</f>
        <v>22698</v>
      </c>
      <c r="J27" s="4">
        <f>I27</f>
        <v>22698</v>
      </c>
      <c r="K27" s="4">
        <f>J27</f>
        <v>22698</v>
      </c>
      <c r="L27" s="4">
        <f>H27+I27+J27+K27+G27+E27+F27</f>
        <v>159020</v>
      </c>
      <c r="M27" s="59">
        <f>AH25+AH32-M30</f>
        <v>747984.7</v>
      </c>
      <c r="N27" s="59">
        <f>AI25+AI32-N30</f>
        <v>773783.5</v>
      </c>
      <c r="O27" s="59">
        <f>N27</f>
        <v>773783.5</v>
      </c>
      <c r="P27" s="60">
        <f>O27</f>
        <v>773783.5</v>
      </c>
      <c r="Q27" s="60">
        <f aca="true" t="shared" si="5" ref="P27:S30">P27</f>
        <v>773783.5</v>
      </c>
      <c r="R27" s="60">
        <f t="shared" si="5"/>
        <v>773783.5</v>
      </c>
      <c r="S27" s="60">
        <f t="shared" si="5"/>
        <v>773783.5</v>
      </c>
      <c r="T27" s="60">
        <f>O27+P27+Q27+R27+S27+M27+N27</f>
        <v>5390685.7</v>
      </c>
      <c r="X27" s="31"/>
      <c r="Y27" s="31">
        <f>AD27/AD22</f>
        <v>0.09431225725224203</v>
      </c>
      <c r="Z27" s="33" t="s">
        <v>58</v>
      </c>
      <c r="AA27" s="33"/>
      <c r="AB27" s="33"/>
      <c r="AC27" s="33"/>
      <c r="AD27" s="27">
        <f aca="true" t="shared" si="6" ref="AD27:AI27">AD22-AD25-AD26</f>
        <v>27908.089999999967</v>
      </c>
      <c r="AE27" s="27">
        <f t="shared" si="6"/>
        <v>26994.048050000012</v>
      </c>
      <c r="AF27" s="27">
        <f t="shared" si="6"/>
        <v>31927.77469000002</v>
      </c>
      <c r="AG27" s="27">
        <f t="shared" si="6"/>
        <v>29653.75000000006</v>
      </c>
      <c r="AH27" s="27">
        <f t="shared" si="6"/>
        <v>31080.946000000025</v>
      </c>
      <c r="AI27" s="27">
        <f t="shared" si="6"/>
        <v>31845.946000000054</v>
      </c>
      <c r="AJ27" s="31"/>
      <c r="AK27" s="31"/>
      <c r="AL27" s="31"/>
      <c r="AM27" s="31"/>
    </row>
    <row r="28" spans="1:39" s="30" customFormat="1" ht="41.25" customHeight="1">
      <c r="A28" s="4">
        <v>4</v>
      </c>
      <c r="B28" s="34" t="s">
        <v>65</v>
      </c>
      <c r="C28" s="34" t="s">
        <v>66</v>
      </c>
      <c r="D28" s="4" t="s">
        <v>67</v>
      </c>
      <c r="E28" s="4">
        <f>AH19</f>
        <v>24762</v>
      </c>
      <c r="F28" s="4">
        <f>AI19</f>
        <v>26082</v>
      </c>
      <c r="G28" s="4">
        <v>26082</v>
      </c>
      <c r="H28" s="4">
        <f aca="true" t="shared" si="7" ref="H28:K30">G28</f>
        <v>26082</v>
      </c>
      <c r="I28" s="4">
        <f t="shared" si="7"/>
        <v>26082</v>
      </c>
      <c r="J28" s="4">
        <f t="shared" si="7"/>
        <v>26082</v>
      </c>
      <c r="K28" s="4">
        <f t="shared" si="7"/>
        <v>26082</v>
      </c>
      <c r="L28" s="4">
        <f>H28+I28+J28+K28+G28+E28+F28</f>
        <v>181254</v>
      </c>
      <c r="M28" s="61">
        <f>AH26+AH33</f>
        <v>1141947.4</v>
      </c>
      <c r="N28" s="61">
        <f>AI26+AI33</f>
        <v>1229969.9</v>
      </c>
      <c r="O28" s="61">
        <f>N28</f>
        <v>1229969.9</v>
      </c>
      <c r="P28" s="62">
        <f t="shared" si="5"/>
        <v>1229969.9</v>
      </c>
      <c r="Q28" s="62">
        <f t="shared" si="5"/>
        <v>1229969.9</v>
      </c>
      <c r="R28" s="62">
        <f t="shared" si="5"/>
        <v>1229969.9</v>
      </c>
      <c r="S28" s="60">
        <f t="shared" si="5"/>
        <v>1229969.9</v>
      </c>
      <c r="T28" s="60">
        <f>O28+P28+Q28+R28+S28+M28+N28</f>
        <v>8521766.8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30" customFormat="1" ht="51">
      <c r="A29" s="4">
        <v>5</v>
      </c>
      <c r="B29" s="34" t="s">
        <v>53</v>
      </c>
      <c r="C29" s="34" t="s">
        <v>66</v>
      </c>
      <c r="D29" s="4" t="s">
        <v>67</v>
      </c>
      <c r="E29" s="4">
        <f>AH20</f>
        <v>4824</v>
      </c>
      <c r="F29" s="4">
        <f>AI20</f>
        <v>5034</v>
      </c>
      <c r="G29" s="4">
        <v>5034</v>
      </c>
      <c r="H29" s="4">
        <f t="shared" si="7"/>
        <v>5034</v>
      </c>
      <c r="I29" s="4">
        <f t="shared" si="7"/>
        <v>5034</v>
      </c>
      <c r="J29" s="4">
        <f t="shared" si="7"/>
        <v>5034</v>
      </c>
      <c r="K29" s="4">
        <f t="shared" si="7"/>
        <v>5034</v>
      </c>
      <c r="L29" s="4">
        <f>H29+I29+J29+K29+G29+E29+F29</f>
        <v>35028</v>
      </c>
      <c r="M29" s="59">
        <f>AH27+AH34</f>
        <v>245841.34600000002</v>
      </c>
      <c r="N29" s="59">
        <f>AI27+AI34</f>
        <v>263669.346</v>
      </c>
      <c r="O29" s="59">
        <f>N29</f>
        <v>263669.346</v>
      </c>
      <c r="P29" s="60">
        <f t="shared" si="5"/>
        <v>263669.346</v>
      </c>
      <c r="Q29" s="60">
        <f t="shared" si="5"/>
        <v>263669.346</v>
      </c>
      <c r="R29" s="60">
        <f t="shared" si="5"/>
        <v>263669.346</v>
      </c>
      <c r="S29" s="60">
        <f t="shared" si="5"/>
        <v>263669.346</v>
      </c>
      <c r="T29" s="60">
        <f>O29+P29+Q29+R29+S29+M29+N29</f>
        <v>1827857.4219999998</v>
      </c>
      <c r="X29" s="31"/>
      <c r="Y29" s="31"/>
      <c r="Z29" s="31" t="s">
        <v>68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30" customFormat="1" ht="51">
      <c r="A30" s="4">
        <v>6</v>
      </c>
      <c r="B30" s="34" t="s">
        <v>69</v>
      </c>
      <c r="C30" s="34" t="s">
        <v>66</v>
      </c>
      <c r="D30" s="4" t="s">
        <v>67</v>
      </c>
      <c r="E30" s="4">
        <f>AH36</f>
        <v>472</v>
      </c>
      <c r="F30" s="4">
        <v>438</v>
      </c>
      <c r="G30" s="4">
        <f>F30</f>
        <v>438</v>
      </c>
      <c r="H30" s="4">
        <f t="shared" si="7"/>
        <v>438</v>
      </c>
      <c r="I30" s="4">
        <f t="shared" si="7"/>
        <v>438</v>
      </c>
      <c r="J30" s="4">
        <f t="shared" si="7"/>
        <v>438</v>
      </c>
      <c r="K30" s="4">
        <f t="shared" si="7"/>
        <v>438</v>
      </c>
      <c r="L30" s="4">
        <f>H30+I30+J30+K30+G30+E30+F30</f>
        <v>3100</v>
      </c>
      <c r="M30" s="59">
        <f>AH43+AH45</f>
        <v>31992.8</v>
      </c>
      <c r="N30" s="59">
        <f>AI43+AI45</f>
        <v>29478.5</v>
      </c>
      <c r="O30" s="59">
        <f>N30</f>
        <v>29478.5</v>
      </c>
      <c r="P30" s="60">
        <f t="shared" si="5"/>
        <v>29478.5</v>
      </c>
      <c r="Q30" s="60">
        <f t="shared" si="5"/>
        <v>29478.5</v>
      </c>
      <c r="R30" s="60">
        <f t="shared" si="5"/>
        <v>29478.5</v>
      </c>
      <c r="S30" s="60">
        <f t="shared" si="5"/>
        <v>29478.5</v>
      </c>
      <c r="T30" s="60">
        <f>O30+P30+Q30+R30+S30+M30+N30</f>
        <v>208863.8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5" s="31" customFormat="1" ht="18" customHeight="1">
      <c r="A31" s="4"/>
      <c r="B31" s="85" t="s">
        <v>38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Z31" s="33"/>
      <c r="AA31" s="33"/>
      <c r="AB31" s="33"/>
      <c r="AC31" s="33"/>
      <c r="AD31" s="33">
        <v>2016</v>
      </c>
      <c r="AE31" s="33">
        <v>2017</v>
      </c>
      <c r="AF31" s="33">
        <v>2018</v>
      </c>
      <c r="AG31" s="33">
        <v>2019</v>
      </c>
      <c r="AH31" s="33">
        <v>2020</v>
      </c>
      <c r="AI31" s="33">
        <v>2021</v>
      </c>
    </row>
    <row r="32" spans="1:39" s="30" customFormat="1" ht="38.25">
      <c r="A32" s="4">
        <v>7</v>
      </c>
      <c r="B32" s="35" t="s">
        <v>71</v>
      </c>
      <c r="C32" s="34" t="s">
        <v>83</v>
      </c>
      <c r="D32" s="4" t="s">
        <v>84</v>
      </c>
      <c r="E32" s="36">
        <v>5258633</v>
      </c>
      <c r="F32" s="4">
        <v>5258633</v>
      </c>
      <c r="G32" s="36">
        <v>5258633</v>
      </c>
      <c r="H32" s="4">
        <f>G32</f>
        <v>5258633</v>
      </c>
      <c r="I32" s="4">
        <f>H32</f>
        <v>5258633</v>
      </c>
      <c r="J32" s="4">
        <f>I32</f>
        <v>5258633</v>
      </c>
      <c r="K32" s="4">
        <f>J32</f>
        <v>5258633</v>
      </c>
      <c r="L32" s="4">
        <f>G32+H32+I32+J32+K32+E32+F32</f>
        <v>36810431</v>
      </c>
      <c r="M32" s="49">
        <v>370282.914</v>
      </c>
      <c r="N32" s="49">
        <v>392110.514</v>
      </c>
      <c r="O32" s="49">
        <f>N32</f>
        <v>392110.514</v>
      </c>
      <c r="P32" s="49">
        <f>O32</f>
        <v>392110.514</v>
      </c>
      <c r="Q32" s="49">
        <f>P32</f>
        <v>392110.514</v>
      </c>
      <c r="R32" s="49">
        <f>Q32</f>
        <v>392110.514</v>
      </c>
      <c r="S32" s="49">
        <f>R32</f>
        <v>392110.514</v>
      </c>
      <c r="T32" s="49">
        <f>P32+Q32+R32+S32+O32+M32+N32</f>
        <v>2722945.998</v>
      </c>
      <c r="X32" s="31"/>
      <c r="Y32" s="31">
        <f>AD32/AD35</f>
        <v>0.34932353927490256</v>
      </c>
      <c r="Z32" s="33" t="s">
        <v>56</v>
      </c>
      <c r="AA32" s="33"/>
      <c r="AB32" s="33"/>
      <c r="AC32" s="33"/>
      <c r="AD32" s="27">
        <v>457297</v>
      </c>
      <c r="AE32" s="27">
        <v>495607.6</v>
      </c>
      <c r="AF32" s="27">
        <v>578091.6</v>
      </c>
      <c r="AG32" s="27">
        <v>616526.6</v>
      </c>
      <c r="AH32" s="27">
        <v>629830.2</v>
      </c>
      <c r="AI32" s="27">
        <v>656899.7</v>
      </c>
      <c r="AJ32" s="31"/>
      <c r="AK32" s="31"/>
      <c r="AL32" s="31"/>
      <c r="AM32" s="31"/>
    </row>
    <row r="33" spans="1:39" s="30" customFormat="1" ht="12.75" customHeight="1">
      <c r="A33" s="48"/>
      <c r="B33" s="85" t="s">
        <v>108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X33" s="31"/>
      <c r="Y33" s="31">
        <f>AD33/AD35</f>
        <v>0.5281524689231398</v>
      </c>
      <c r="Z33" s="33" t="s">
        <v>57</v>
      </c>
      <c r="AA33" s="33"/>
      <c r="AB33" s="33"/>
      <c r="AC33" s="33"/>
      <c r="AD33" s="27">
        <v>691400.7</v>
      </c>
      <c r="AE33" s="27">
        <v>737257.5</v>
      </c>
      <c r="AF33" s="27">
        <v>844190.3</v>
      </c>
      <c r="AG33" s="27">
        <v>914262.5</v>
      </c>
      <c r="AH33" s="27">
        <f>982406.2+0.1</f>
        <v>982406.2999999999</v>
      </c>
      <c r="AI33" s="27">
        <v>1064970.7</v>
      </c>
      <c r="AJ33" s="31"/>
      <c r="AK33" s="31"/>
      <c r="AL33" s="31"/>
      <c r="AM33" s="31"/>
    </row>
    <row r="34" spans="1:39" s="30" customFormat="1" ht="28.5" customHeight="1">
      <c r="A34" s="4">
        <v>8</v>
      </c>
      <c r="B34" s="34" t="s">
        <v>54</v>
      </c>
      <c r="C34" s="34" t="s">
        <v>72</v>
      </c>
      <c r="D34" s="4" t="s">
        <v>67</v>
      </c>
      <c r="E34" s="4">
        <v>1950</v>
      </c>
      <c r="F34" s="4">
        <v>1950</v>
      </c>
      <c r="G34" s="4">
        <v>1950</v>
      </c>
      <c r="H34" s="4">
        <v>1950</v>
      </c>
      <c r="I34" s="4">
        <f>H34</f>
        <v>1950</v>
      </c>
      <c r="J34" s="4">
        <v>1950</v>
      </c>
      <c r="K34" s="4">
        <v>1950</v>
      </c>
      <c r="L34" s="4">
        <f>H34+I34+J34+K34+G34+E34+F34</f>
        <v>13650</v>
      </c>
      <c r="M34" s="50">
        <v>22152</v>
      </c>
      <c r="N34" s="50">
        <v>22152</v>
      </c>
      <c r="O34" s="50">
        <f>N34</f>
        <v>22152</v>
      </c>
      <c r="P34" s="3">
        <v>22152</v>
      </c>
      <c r="Q34" s="3">
        <v>22152</v>
      </c>
      <c r="R34" s="3">
        <f>4747.9-4747.9+22152</f>
        <v>22152</v>
      </c>
      <c r="S34" s="3">
        <v>22152</v>
      </c>
      <c r="T34" s="3">
        <f>P34+Q34+R34+S34+O34+M34+N34</f>
        <v>155064</v>
      </c>
      <c r="X34" s="31"/>
      <c r="Y34" s="31">
        <f>AD34/AD35</f>
        <v>0.12252399180195753</v>
      </c>
      <c r="Z34" s="33" t="s">
        <v>58</v>
      </c>
      <c r="AA34" s="33"/>
      <c r="AB34" s="33"/>
      <c r="AC34" s="33"/>
      <c r="AD34" s="27">
        <v>160395.3</v>
      </c>
      <c r="AE34" s="27">
        <v>167507</v>
      </c>
      <c r="AF34" s="27">
        <v>189440.7</v>
      </c>
      <c r="AG34" s="27">
        <v>201568.6</v>
      </c>
      <c r="AH34" s="27">
        <v>214760.4</v>
      </c>
      <c r="AI34" s="27">
        <v>231823.4</v>
      </c>
      <c r="AJ34" s="31"/>
      <c r="AK34" s="31"/>
      <c r="AL34" s="31"/>
      <c r="AM34" s="31"/>
    </row>
    <row r="35" spans="1:35" s="31" customFormat="1" ht="16.5" customHeight="1">
      <c r="A35" s="4"/>
      <c r="B35" s="83" t="s">
        <v>109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34"/>
      <c r="AD35" s="28">
        <f aca="true" t="shared" si="8" ref="AD35:AI35">AD32+AD33+AD34</f>
        <v>1309093</v>
      </c>
      <c r="AE35" s="28">
        <f t="shared" si="8"/>
        <v>1400372.1</v>
      </c>
      <c r="AF35" s="28">
        <f t="shared" si="8"/>
        <v>1611722.5999999999</v>
      </c>
      <c r="AG35" s="28">
        <f t="shared" si="8"/>
        <v>1732357.7000000002</v>
      </c>
      <c r="AH35" s="28">
        <f t="shared" si="8"/>
        <v>1826996.9</v>
      </c>
      <c r="AI35" s="28">
        <f t="shared" si="8"/>
        <v>1953693.7999999998</v>
      </c>
    </row>
    <row r="36" spans="1:39" s="17" customFormat="1" ht="167.25" customHeight="1">
      <c r="A36" s="4">
        <v>9</v>
      </c>
      <c r="B36" s="34" t="s">
        <v>55</v>
      </c>
      <c r="C36" s="34" t="s">
        <v>30</v>
      </c>
      <c r="D36" s="4" t="s">
        <v>89</v>
      </c>
      <c r="E36" s="4">
        <v>41</v>
      </c>
      <c r="F36" s="4">
        <v>41</v>
      </c>
      <c r="G36" s="4">
        <v>41</v>
      </c>
      <c r="H36" s="4">
        <v>41</v>
      </c>
      <c r="I36" s="4">
        <v>41</v>
      </c>
      <c r="J36" s="4">
        <v>41</v>
      </c>
      <c r="K36" s="4">
        <f>J36</f>
        <v>41</v>
      </c>
      <c r="L36" s="4">
        <f>J36+K36+G36+H36+I36+E36+F36</f>
        <v>287</v>
      </c>
      <c r="M36" s="51">
        <v>235.1</v>
      </c>
      <c r="N36" s="51">
        <v>235.1</v>
      </c>
      <c r="O36" s="51">
        <v>235.1</v>
      </c>
      <c r="P36" s="51">
        <v>235.1</v>
      </c>
      <c r="Q36" s="51">
        <v>235.1</v>
      </c>
      <c r="R36" s="50">
        <f>Q36</f>
        <v>235.1</v>
      </c>
      <c r="S36" s="50">
        <f>R36</f>
        <v>235.1</v>
      </c>
      <c r="T36" s="3">
        <f>R36+S36+Q36+P36+O36+M36+N36</f>
        <v>1645.6999999999998</v>
      </c>
      <c r="X36" s="25"/>
      <c r="Y36" s="25"/>
      <c r="Z36" s="25"/>
      <c r="AA36" s="25"/>
      <c r="AB36" s="25"/>
      <c r="AC36" s="25"/>
      <c r="AD36" s="25">
        <v>95</v>
      </c>
      <c r="AE36" s="25">
        <v>165</v>
      </c>
      <c r="AF36" s="25">
        <v>300</v>
      </c>
      <c r="AG36" s="25">
        <v>434</v>
      </c>
      <c r="AH36" s="25">
        <v>472</v>
      </c>
      <c r="AI36" s="25">
        <v>413</v>
      </c>
      <c r="AJ36" s="25"/>
      <c r="AK36" s="25"/>
      <c r="AL36" s="25"/>
      <c r="AM36" s="25"/>
    </row>
    <row r="37" spans="15:20" ht="15" hidden="1">
      <c r="O37" s="19" t="e">
        <f>O22+O27+O34+#REF!+#REF!+O32</f>
        <v>#REF!</v>
      </c>
      <c r="P37" s="14" t="e">
        <f>P22+P27+P34+#REF!+#REF!+P32</f>
        <v>#REF!</v>
      </c>
      <c r="Q37" s="14" t="e">
        <f>Q22+Q27+Q34+#REF!+#REF!+Q32</f>
        <v>#REF!</v>
      </c>
      <c r="R37" s="14" t="e">
        <f>R22+R27+R34+#REF!+#REF!+R32</f>
        <v>#REF!</v>
      </c>
      <c r="S37" s="14" t="e">
        <f>S22+S27+S34+#REF!+#REF!+S32</f>
        <v>#REF!</v>
      </c>
      <c r="T37" s="14"/>
    </row>
    <row r="38" spans="15:20" ht="15" hidden="1">
      <c r="O38" s="19" t="e">
        <f>O37-'[1]Лист1'!$E$101</f>
        <v>#REF!</v>
      </c>
      <c r="P38" s="14" t="e">
        <f>P37-'[1]Лист1'!$F$101</f>
        <v>#REF!</v>
      </c>
      <c r="Q38" s="14" t="e">
        <f>Q37-'[1]Лист1'!$G$101</f>
        <v>#REF!</v>
      </c>
      <c r="R38" s="14" t="e">
        <f>R37-'[1]Лист1'!$H$101</f>
        <v>#REF!</v>
      </c>
      <c r="S38" s="14" t="e">
        <f>S37-'[1]Лист1'!$I$101</f>
        <v>#REF!</v>
      </c>
      <c r="T38" s="14"/>
    </row>
    <row r="39" spans="15:20" ht="15" hidden="1">
      <c r="O39" s="19"/>
      <c r="P39" s="14"/>
      <c r="Q39" s="14"/>
      <c r="R39" s="14"/>
      <c r="S39" s="14"/>
      <c r="T39" s="14"/>
    </row>
    <row r="40" spans="15:21" ht="15" hidden="1">
      <c r="O40" s="20">
        <f>O27/G27</f>
        <v>34.09038241254736</v>
      </c>
      <c r="P40" s="16">
        <f>P27/H27</f>
        <v>34.09038241254736</v>
      </c>
      <c r="Q40" s="16">
        <f>Q27/I27</f>
        <v>34.09038241254736</v>
      </c>
      <c r="R40" s="16">
        <f>R27/J27</f>
        <v>34.09038241254736</v>
      </c>
      <c r="S40" s="16">
        <f>S27/K27</f>
        <v>34.09038241254736</v>
      </c>
      <c r="T40" s="29"/>
      <c r="U40" s="25" t="s">
        <v>44</v>
      </c>
    </row>
    <row r="41" spans="15:20" ht="15">
      <c r="O41" s="19"/>
      <c r="P41" s="14"/>
      <c r="Q41" s="14"/>
      <c r="R41" s="14"/>
      <c r="S41" s="14"/>
      <c r="T41" s="14"/>
    </row>
    <row r="42" spans="15:26" ht="15">
      <c r="O42" s="19"/>
      <c r="P42" s="14"/>
      <c r="Q42" s="14"/>
      <c r="R42" s="14"/>
      <c r="S42" s="14"/>
      <c r="T42" s="14"/>
      <c r="Z42" s="25" t="s">
        <v>73</v>
      </c>
    </row>
    <row r="43" spans="15:35" ht="15">
      <c r="O43" s="19"/>
      <c r="AD43" s="25">
        <f>ROUND(AD36*AD23,1)</f>
        <v>610.8</v>
      </c>
      <c r="AE43" s="25">
        <f>ROUND(AE36*AE23,1)</f>
        <v>1019.5</v>
      </c>
      <c r="AF43" s="25">
        <f>ROUND(AF36*AF23,1)</f>
        <v>2149.5</v>
      </c>
      <c r="AG43" s="25">
        <f>ROUND(AG36*AG23,1)</f>
        <v>2792.9</v>
      </c>
      <c r="AH43" s="25">
        <f>ROUND(AH36*AH23,1)</f>
        <v>3041.1</v>
      </c>
      <c r="AI43" s="25">
        <f>ROUND(AI36*AI23,0)</f>
        <v>2613</v>
      </c>
    </row>
    <row r="44" spans="13:26" ht="15" hidden="1">
      <c r="M44" s="14">
        <f>M22-'[2]2016'!$M$19-'[2]2016'!$M$20</f>
        <v>1.8917489796876907E-10</v>
      </c>
      <c r="N44" s="25" t="s">
        <v>75</v>
      </c>
      <c r="O44" s="53"/>
      <c r="P44" s="25"/>
      <c r="Q44" s="41"/>
      <c r="R44" s="39"/>
      <c r="S44" s="39"/>
      <c r="T44" s="14"/>
      <c r="Z44" s="25" t="s">
        <v>74</v>
      </c>
    </row>
    <row r="45" spans="13:35" ht="15" hidden="1">
      <c r="M45" s="14">
        <f>M24-'[2]2016'!$M$16-'[2]2016'!$M$17</f>
        <v>-5500.400000000023</v>
      </c>
      <c r="N45" s="25" t="s">
        <v>76</v>
      </c>
      <c r="O45" s="53"/>
      <c r="P45" s="25"/>
      <c r="Q45" s="28"/>
      <c r="R45" s="46"/>
      <c r="S45" s="39"/>
      <c r="T45" s="14"/>
      <c r="AD45" s="26">
        <v>4781.4</v>
      </c>
      <c r="AE45" s="25">
        <v>8529.3</v>
      </c>
      <c r="AF45" s="47">
        <v>17145.9</v>
      </c>
      <c r="AG45" s="25">
        <v>26620.9</v>
      </c>
      <c r="AH45" s="25">
        <v>28951.7</v>
      </c>
      <c r="AI45" s="25">
        <v>26865.5</v>
      </c>
    </row>
    <row r="46" spans="5:20" ht="15" hidden="1">
      <c r="E46" s="5">
        <f aca="true" t="shared" si="9" ref="E46:K46">E27+E28+E29+E30</f>
        <v>52890</v>
      </c>
      <c r="F46" s="5">
        <f t="shared" si="9"/>
        <v>54252</v>
      </c>
      <c r="G46" s="5">
        <f t="shared" si="9"/>
        <v>54252</v>
      </c>
      <c r="H46" s="5">
        <f t="shared" si="9"/>
        <v>54252</v>
      </c>
      <c r="I46" s="5">
        <f t="shared" si="9"/>
        <v>54252</v>
      </c>
      <c r="J46" s="5">
        <f t="shared" si="9"/>
        <v>54252</v>
      </c>
      <c r="K46" s="5">
        <f t="shared" si="9"/>
        <v>54252</v>
      </c>
      <c r="M46" s="43">
        <f>M27+M28+M29+M30-'[2]2016'!$M$21-'[2]2016'!$M$22-'[2]2016'!$M$23-'[2]2016'!$M$24</f>
        <v>-1.3915268937125802E-10</v>
      </c>
      <c r="N46" s="25" t="s">
        <v>78</v>
      </c>
      <c r="O46" s="54"/>
      <c r="P46" s="25"/>
      <c r="Q46" s="42"/>
      <c r="R46" s="46"/>
      <c r="S46" s="39"/>
      <c r="T46" s="14"/>
    </row>
    <row r="47" spans="13:31" ht="15" hidden="1">
      <c r="M47" s="43">
        <f>M32-'[2]2016'!$M$25-'[2]2016'!$M$26-'[2]2016'!$M$27</f>
        <v>5.638867150992155E-11</v>
      </c>
      <c r="N47" s="25" t="s">
        <v>79</v>
      </c>
      <c r="O47" s="54"/>
      <c r="P47" s="25"/>
      <c r="Q47" s="44"/>
      <c r="R47" s="39"/>
      <c r="S47" s="39"/>
      <c r="AE47" s="38"/>
    </row>
    <row r="48" spans="13:35" ht="15" hidden="1">
      <c r="M48" s="14">
        <f>M34-'[2]2016'!$M$30</f>
        <v>0</v>
      </c>
      <c r="N48" s="25" t="s">
        <v>80</v>
      </c>
      <c r="O48" s="53"/>
      <c r="P48" s="25"/>
      <c r="Q48" s="41"/>
      <c r="R48" s="6"/>
      <c r="S48" s="39"/>
      <c r="AD48" s="55">
        <v>2016</v>
      </c>
      <c r="AE48" s="55">
        <v>2017</v>
      </c>
      <c r="AF48" s="55">
        <v>2018</v>
      </c>
      <c r="AG48" s="55">
        <v>2019</v>
      </c>
      <c r="AH48" s="55">
        <v>2020</v>
      </c>
      <c r="AI48" s="55">
        <v>2021</v>
      </c>
    </row>
    <row r="49" spans="13:30" ht="15" hidden="1">
      <c r="M49" s="5">
        <f>M36-'[2]2016'!$M$58-'[2]2016'!$M$59</f>
        <v>0</v>
      </c>
      <c r="N49" s="25" t="s">
        <v>81</v>
      </c>
      <c r="O49" s="25"/>
      <c r="P49" s="25"/>
      <c r="Q49" s="28"/>
      <c r="R49" s="6"/>
      <c r="S49" s="39"/>
      <c r="AD49" s="26"/>
    </row>
    <row r="50" spans="17:30" ht="15" hidden="1">
      <c r="Q50" s="6"/>
      <c r="AD50" s="26"/>
    </row>
    <row r="51" spans="13:30" ht="15" hidden="1">
      <c r="M51" s="58">
        <v>2020</v>
      </c>
      <c r="N51" s="58">
        <v>2021</v>
      </c>
      <c r="O51" s="47">
        <v>2022</v>
      </c>
      <c r="P51" s="47">
        <v>2023</v>
      </c>
      <c r="Q51" s="47">
        <v>2024</v>
      </c>
      <c r="R51" s="47">
        <v>2026</v>
      </c>
      <c r="S51" s="47">
        <v>2026</v>
      </c>
      <c r="AD51" s="26"/>
    </row>
    <row r="52" spans="13:30" ht="15" hidden="1">
      <c r="M52" s="52">
        <f aca="true" t="shared" si="10" ref="M52:S52">M27+M28+M29+M30</f>
        <v>2167766.246</v>
      </c>
      <c r="N52" s="52">
        <f t="shared" si="10"/>
        <v>2296901.246</v>
      </c>
      <c r="O52" s="52">
        <f t="shared" si="10"/>
        <v>2296901.246</v>
      </c>
      <c r="P52" s="52">
        <f t="shared" si="10"/>
        <v>2296901.246</v>
      </c>
      <c r="Q52" s="52">
        <f t="shared" si="10"/>
        <v>2296901.246</v>
      </c>
      <c r="R52" s="52">
        <f t="shared" si="10"/>
        <v>2296901.246</v>
      </c>
      <c r="S52" s="52">
        <f t="shared" si="10"/>
        <v>2296901.246</v>
      </c>
      <c r="T52" s="14"/>
      <c r="AD52" s="26"/>
    </row>
    <row r="53" spans="12:30" ht="15" hidden="1">
      <c r="L53" s="23"/>
      <c r="M53" s="52">
        <f aca="true" t="shared" si="11" ref="M53:S53">ROUND(M52/E46,1)</f>
        <v>41</v>
      </c>
      <c r="N53" s="52">
        <f t="shared" si="11"/>
        <v>42.3</v>
      </c>
      <c r="O53" s="52">
        <f t="shared" si="11"/>
        <v>42.3</v>
      </c>
      <c r="P53" s="52">
        <f t="shared" si="11"/>
        <v>42.3</v>
      </c>
      <c r="Q53" s="52">
        <f t="shared" si="11"/>
        <v>42.3</v>
      </c>
      <c r="R53" s="52">
        <f t="shared" si="11"/>
        <v>42.3</v>
      </c>
      <c r="S53" s="52">
        <f t="shared" si="11"/>
        <v>42.3</v>
      </c>
      <c r="T53" s="25" t="s">
        <v>82</v>
      </c>
      <c r="AD53" s="26"/>
    </row>
    <row r="54" ht="15" hidden="1"/>
    <row r="55" spans="16:20" ht="15" hidden="1">
      <c r="P55" s="25"/>
      <c r="Q55" s="25"/>
      <c r="R55" s="25"/>
      <c r="S55" s="53">
        <v>41</v>
      </c>
      <c r="T55" s="5" t="s">
        <v>107</v>
      </c>
    </row>
    <row r="56" spans="19:20" ht="15" hidden="1">
      <c r="S56" s="14">
        <v>42.3</v>
      </c>
      <c r="T56" s="5" t="s">
        <v>103</v>
      </c>
    </row>
    <row r="57" ht="15" hidden="1">
      <c r="S57" s="14">
        <f>S53-S56</f>
        <v>0</v>
      </c>
    </row>
    <row r="58" spans="15:19" ht="15" hidden="1">
      <c r="O58" s="19"/>
      <c r="S58" s="14">
        <f>M53-S55</f>
        <v>0</v>
      </c>
    </row>
    <row r="59" ht="15" hidden="1"/>
    <row r="60" ht="15">
      <c r="Q60" s="43"/>
    </row>
    <row r="61" ht="15"/>
    <row r="62" ht="31.5" customHeight="1"/>
    <row r="63" ht="15"/>
    <row r="64" ht="15"/>
    <row r="65" ht="15"/>
    <row r="66" ht="15"/>
  </sheetData>
  <sheetProtection/>
  <mergeCells count="26">
    <mergeCell ref="A19:A20"/>
    <mergeCell ref="B20:T20"/>
    <mergeCell ref="B21:T21"/>
    <mergeCell ref="B25:T25"/>
    <mergeCell ref="B23:T23"/>
    <mergeCell ref="A14:S14"/>
    <mergeCell ref="A15:A18"/>
    <mergeCell ref="D17:D18"/>
    <mergeCell ref="B31:T31"/>
    <mergeCell ref="B19:T19"/>
    <mergeCell ref="D15:T15"/>
    <mergeCell ref="D16:T16"/>
    <mergeCell ref="B15:B18"/>
    <mergeCell ref="C15:C18"/>
    <mergeCell ref="E17:L17"/>
    <mergeCell ref="M17:T17"/>
    <mergeCell ref="O1:T1"/>
    <mergeCell ref="A8:T8"/>
    <mergeCell ref="A9:T9"/>
    <mergeCell ref="B35:S35"/>
    <mergeCell ref="A25:A26"/>
    <mergeCell ref="A11:T11"/>
    <mergeCell ref="A12:T12"/>
    <mergeCell ref="A10:T10"/>
    <mergeCell ref="B33:T33"/>
    <mergeCell ref="B26:T26"/>
  </mergeCells>
  <printOptions/>
  <pageMargins left="0" right="0" top="0.24" bottom="0.19" header="0.16" footer="0.15"/>
  <pageSetup horizontalDpi="600" verticalDpi="600" orientation="landscape" paperSize="9" scale="71" r:id="rId3"/>
  <rowBreaks count="1" manualBreakCount="1">
    <brk id="32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2019-07-15T09:16:14Z</cp:lastPrinted>
  <dcterms:created xsi:type="dcterms:W3CDTF">2014-06-08T13:23:30Z</dcterms:created>
  <dcterms:modified xsi:type="dcterms:W3CDTF">2019-09-11T09:03:04Z</dcterms:modified>
  <cp:category/>
  <cp:version/>
  <cp:contentType/>
  <cp:contentStatus/>
</cp:coreProperties>
</file>