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'лист1'!$14:$16</definedName>
    <definedName name="_xlnm.Print_Area" localSheetId="0">'лист1'!$A$1:$Q$307</definedName>
  </definedNames>
  <calcPr fullCalcOnLoad="1"/>
</workbook>
</file>

<file path=xl/sharedStrings.xml><?xml version="1.0" encoding="utf-8"?>
<sst xmlns="http://schemas.openxmlformats.org/spreadsheetml/2006/main" count="2513" uniqueCount="253">
  <si>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</si>
  <si>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</si>
  <si>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</si>
  <si>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</si>
  <si>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</si>
  <si>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</si>
  <si>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</si>
  <si>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</si>
  <si>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</si>
  <si>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</si>
  <si>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</si>
  <si>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</si>
  <si>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</si>
  <si>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</si>
  <si>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</si>
  <si>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</si>
  <si>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</si>
  <si>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</si>
  <si>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</si>
  <si>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</si>
  <si>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</si>
  <si>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</si>
  <si>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</si>
  <si>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</si>
  <si>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</si>
  <si>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</si>
  <si>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</si>
  <si>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</si>
  <si>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</si>
  <si>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</si>
  <si>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</si>
  <si>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</si>
  <si>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</si>
  <si>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</si>
  <si>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</si>
  <si>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</si>
  <si>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</si>
  <si>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</si>
  <si>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</si>
  <si>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</si>
  <si>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</si>
  <si>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</si>
  <si>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</si>
  <si>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</si>
  <si>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</si>
  <si>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</si>
  <si>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</si>
  <si>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</si>
  <si>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</si>
  <si>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</si>
  <si>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</si>
  <si>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</si>
  <si>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</si>
  <si>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</si>
  <si>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</si>
  <si>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</si>
  <si>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</si>
  <si>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</si>
  <si>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</si>
  <si>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</si>
  <si>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</si>
  <si>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</si>
  <si>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</si>
  <si>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</si>
  <si>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</si>
  <si>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</si>
  <si>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</si>
  <si>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</si>
  <si>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</si>
  <si>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</si>
  <si>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</si>
  <si>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</si>
  <si>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</si>
  <si>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</si>
  <si>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</si>
  <si>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</si>
  <si>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</si>
  <si>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</si>
  <si>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</si>
  <si>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</si>
  <si>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</si>
  <si>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</si>
  <si>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</si>
  <si>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</si>
  <si>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</si>
  <si>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</si>
  <si>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</si>
  <si>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</si>
  <si>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</si>
  <si>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</si>
  <si>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</si>
  <si>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</si>
  <si>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</si>
  <si>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</si>
  <si>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</si>
  <si>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</si>
  <si>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</si>
  <si>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</si>
  <si>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</si>
  <si>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</si>
  <si>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</si>
  <si>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</si>
  <si>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</si>
  <si>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</si>
  <si>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</si>
  <si>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</si>
  <si>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</si>
  <si>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</si>
  <si>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</si>
  <si>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</si>
  <si>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</si>
  <si>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</si>
  <si>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</si>
  <si>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</si>
  <si>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</si>
  <si>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</si>
  <si>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</si>
  <si>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</si>
  <si>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</si>
  <si>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</si>
  <si>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</si>
  <si>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</si>
  <si>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</si>
  <si>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</si>
  <si>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</si>
  <si>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2.1. Руководство и управление в сфере установленных функций</t>
  </si>
  <si>
    <t>-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</si>
  <si>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</si>
  <si>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</si>
  <si>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</si>
  <si>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</si>
  <si>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</si>
  <si>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</si>
  <si>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</si>
  <si>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</si>
  <si>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</si>
  <si>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</si>
  <si>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</si>
  <si>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</si>
  <si>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</si>
  <si>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</si>
  <si>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</si>
  <si>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</si>
  <si>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</si>
  <si>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</si>
  <si>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</si>
  <si>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</si>
  <si>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</si>
  <si>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</si>
  <si>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</si>
  <si>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</si>
  <si>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</si>
  <si>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</si>
  <si>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</si>
  <si>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</si>
  <si>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</si>
  <si>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1.16</t>
  </si>
  <si>
    <t>Приложение № 10</t>
  </si>
  <si>
    <t>2.1</t>
  </si>
  <si>
    <t>2.2</t>
  </si>
  <si>
    <t>2.3</t>
  </si>
  <si>
    <t>2.4</t>
  </si>
  <si>
    <t>2.5</t>
  </si>
  <si>
    <t>2.6</t>
  </si>
  <si>
    <t>Итого по мероприятиям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</si>
  <si>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</si>
  <si>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</si>
  <si>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</si>
  <si>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</si>
  <si>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</si>
  <si>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</si>
  <si>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</si>
  <si>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</si>
  <si>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</si>
  <si>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</si>
  <si>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</si>
  <si>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</si>
  <si>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</si>
  <si>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</si>
  <si>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</si>
  <si>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</si>
  <si>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</si>
  <si>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</si>
  <si>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</si>
  <si>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</si>
  <si>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</si>
  <si>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</si>
  <si>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</si>
  <si>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</si>
  <si>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Наименование мероприятий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</si>
  <si>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</si>
  <si>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</si>
  <si>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</si>
  <si>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Мероприятие 1.E5. Региональный проект «Учитель будущего»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</si>
  <si>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</si>
  <si>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</si>
  <si>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Управление образования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</si>
  <si>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«Развитие образования в городе Пензе на 2020 - 2026 годы»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</si>
  <si>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</si>
  <si>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</si>
  <si>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</si>
  <si>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</si>
  <si>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</si>
  <si>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</si>
  <si>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</si>
  <si>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</si>
  <si>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</si>
  <si>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</si>
  <si>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</si>
  <si>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</si>
  <si>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</si>
  <si>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</si>
  <si>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</si>
  <si>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</si>
  <si>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</si>
  <si>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не более 6,4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</si>
  <si>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</si>
  <si>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</si>
  <si>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1.19</t>
  </si>
  <si>
    <t>1.20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</si>
  <si>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</si>
  <si>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1.21</t>
  </si>
  <si>
    <t>1.22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</si>
  <si>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</si>
  <si>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</si>
  <si>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</si>
  <si>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</si>
  <si>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 (ед.)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</si>
  <si>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</si>
  <si>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</si>
  <si>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24496; 28543 (29066)</t>
  </si>
  <si>
    <t>28543 (29066)</t>
  </si>
  <si>
    <t>25,5(*0,51)</t>
  </si>
  <si>
    <t>25,5(*0)</t>
  </si>
  <si>
    <t>Доля обучающихся общеобразовательных организаций, направляемых в организации отдыха детей и их  оздоровления (%)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</si>
  <si>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образования(%)</t>
  </si>
  <si>
    <t>1.23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</si>
  <si>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</si>
  <si>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(ед.)</t>
  </si>
  <si>
    <t>1.24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</si>
  <si>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</si>
  <si>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1.25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</si>
  <si>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</si>
  <si>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2.7</t>
  </si>
  <si>
    <t>Доля педагогических работников общеобразовательных организаций, получивших вознаграждение за исполнение функций классного руководства, в общей численности  педагогических работников, исполняющих функции классного руководства (%)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</si>
  <si>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</si>
  <si>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>1.26</t>
  </si>
  <si>
    <t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</si>
  <si>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(%)</t>
  </si>
  <si>
    <t>1.27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</si>
  <si>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</si>
  <si>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>Приложение № 4</t>
  </si>
  <si>
    <t>от 11.11.2020 №1602/3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</si>
</sst>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179" fontId="54" fillId="0" borderId="0" xfId="0" applyNumberFormat="1" applyFont="1" applyFill="1" applyAlignment="1">
      <alignment/>
    </xf>
    <xf numFmtId="182" fontId="54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81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vertical="top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183" fontId="5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horizontal="left"/>
    </xf>
    <xf numFmtId="179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49" fontId="52" fillId="0" borderId="19" xfId="0" applyNumberFormat="1" applyFont="1" applyBorder="1" applyAlignment="1">
      <alignment horizontal="left" vertical="top" wrapText="1"/>
    </xf>
    <xf numFmtId="49" fontId="52" fillId="0" borderId="20" xfId="0" applyNumberFormat="1" applyFont="1" applyBorder="1" applyAlignment="1">
      <alignment horizontal="left" vertical="top" wrapText="1"/>
    </xf>
    <xf numFmtId="49" fontId="52" fillId="0" borderId="21" xfId="0" applyNumberFormat="1" applyFont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19" xfId="0" applyNumberFormat="1" applyFont="1" applyBorder="1" applyAlignment="1">
      <alignment horizontal="left" vertical="top" wrapText="1"/>
    </xf>
    <xf numFmtId="0" fontId="52" fillId="0" borderId="20" xfId="0" applyNumberFormat="1" applyFont="1" applyBorder="1" applyAlignment="1">
      <alignment horizontal="left" vertical="top" wrapText="1"/>
    </xf>
    <xf numFmtId="0" fontId="52" fillId="0" borderId="21" xfId="0" applyNumberFormat="1" applyFont="1" applyBorder="1" applyAlignment="1">
      <alignment horizontal="left" vertical="top" wrapText="1"/>
    </xf>
    <xf numFmtId="0" fontId="52" fillId="0" borderId="19" xfId="0" applyNumberFormat="1" applyFont="1" applyBorder="1" applyAlignment="1">
      <alignment horizontal="center" vertical="top" wrapText="1"/>
    </xf>
    <xf numFmtId="0" fontId="52" fillId="0" borderId="20" xfId="0" applyNumberFormat="1" applyFont="1" applyBorder="1" applyAlignment="1">
      <alignment horizontal="center" vertical="top" wrapText="1"/>
    </xf>
    <xf numFmtId="0" fontId="52" fillId="0" borderId="2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9" xfId="0" applyNumberFormat="1" applyFont="1" applyBorder="1" applyAlignment="1">
      <alignment horizontal="left" vertical="top" wrapText="1"/>
    </xf>
    <xf numFmtId="49" fontId="51" fillId="0" borderId="20" xfId="0" applyNumberFormat="1" applyFont="1" applyBorder="1" applyAlignment="1">
      <alignment horizontal="left" vertical="top" wrapText="1"/>
    </xf>
    <xf numFmtId="49" fontId="51" fillId="0" borderId="21" xfId="0" applyNumberFormat="1" applyFont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19" xfId="0" applyNumberFormat="1" applyFont="1" applyBorder="1" applyAlignment="1">
      <alignment horizontal="left" vertical="top" wrapText="1"/>
    </xf>
    <xf numFmtId="0" fontId="51" fillId="0" borderId="21" xfId="0" applyNumberFormat="1" applyFont="1" applyBorder="1" applyAlignment="1">
      <alignment horizontal="left" vertical="top" wrapText="1"/>
    </xf>
    <xf numFmtId="0" fontId="51" fillId="0" borderId="20" xfId="0" applyNumberFormat="1" applyFont="1" applyBorder="1" applyAlignment="1">
      <alignment horizontal="left" vertical="top" wrapText="1"/>
    </xf>
    <xf numFmtId="0" fontId="51" fillId="0" borderId="19" xfId="0" applyNumberFormat="1" applyFont="1" applyBorder="1" applyAlignment="1">
      <alignment horizontal="center" vertical="top" wrapText="1"/>
    </xf>
    <xf numFmtId="0" fontId="51" fillId="0" borderId="20" xfId="0" applyNumberFormat="1" applyFont="1" applyBorder="1" applyAlignment="1">
      <alignment horizontal="center" vertical="top" wrapText="1"/>
    </xf>
    <xf numFmtId="0" fontId="51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view="pageBreakPreview" zoomScaleSheetLayoutView="100" zoomScalePageLayoutView="0" workbookViewId="0" topLeftCell="A1">
      <selection activeCell="A280" sqref="A1:IV16384"/>
    </sheetView>
  </sheetViews>
  <sheetFormatPr defaultColWidth="9.140625" defaultRowHeight="15"/>
  <cols>
    <col min="1" max="1" width="4.8515625" style="37" customWidth="1"/>
    <col min="2" max="2" width="26.7109375" style="37" customWidth="1"/>
    <col min="3" max="3" width="14.57421875" style="37" customWidth="1"/>
    <col min="4" max="4" width="6.8515625" style="37" customWidth="1"/>
    <col min="5" max="5" width="13.140625" style="37" customWidth="1"/>
    <col min="6" max="6" width="12.7109375" style="37" customWidth="1"/>
    <col min="7" max="7" width="13.28125" style="37" customWidth="1"/>
    <col min="8" max="8" width="11.00390625" style="37" customWidth="1"/>
    <col min="9" max="9" width="6.28125" style="37" customWidth="1"/>
    <col min="10" max="10" width="15.00390625" style="37" customWidth="1"/>
    <col min="11" max="11" width="17.8515625" style="37" customWidth="1"/>
    <col min="12" max="12" width="14.8515625" style="37" customWidth="1"/>
    <col min="13" max="13" width="16.8515625" style="37" customWidth="1"/>
    <col min="14" max="14" width="13.28125" style="37" customWidth="1"/>
    <col min="15" max="15" width="16.00390625" style="37" customWidth="1"/>
    <col min="16" max="16" width="12.140625" style="37" customWidth="1"/>
    <col min="17" max="17" width="13.8515625" style="37" customWidth="1"/>
    <col min="18" max="16384" width="9.140625" style="37" customWidth="1"/>
  </cols>
  <sheetData>
    <row r="1" ht="15">
      <c r="Q1" s="42" t="s">
        <v>251</v>
      </c>
    </row>
    <row r="2" ht="15">
      <c r="Q2" s="42" t="s">
        <v>216</v>
      </c>
    </row>
    <row r="3" ht="15">
      <c r="Q3" s="42" t="s">
        <v>252</v>
      </c>
    </row>
    <row r="5" spans="8:17" s="30" customFormat="1" ht="15">
      <c r="H5" s="31"/>
      <c r="I5" s="31"/>
      <c r="J5" s="38"/>
      <c r="K5" s="37"/>
      <c r="L5" s="44"/>
      <c r="M5" s="37"/>
      <c r="N5" s="37"/>
      <c r="O5" s="44"/>
      <c r="Q5" s="42" t="s">
        <v>157</v>
      </c>
    </row>
    <row r="6" spans="8:17" s="30" customFormat="1" ht="15">
      <c r="H6" s="31"/>
      <c r="I6" s="31"/>
      <c r="J6" s="38"/>
      <c r="K6" s="37"/>
      <c r="L6" s="44"/>
      <c r="M6" s="37"/>
      <c r="N6" s="37"/>
      <c r="O6" s="44"/>
      <c r="Q6" s="42" t="s">
        <v>111</v>
      </c>
    </row>
    <row r="7" spans="6:17" s="30" customFormat="1" ht="15">
      <c r="F7" s="31"/>
      <c r="H7" s="31"/>
      <c r="I7" s="31"/>
      <c r="J7" s="38"/>
      <c r="K7" s="37"/>
      <c r="L7" s="44"/>
      <c r="M7" s="37"/>
      <c r="N7" s="37"/>
      <c r="O7" s="44"/>
      <c r="Q7" s="42" t="s">
        <v>197</v>
      </c>
    </row>
    <row r="8" spans="9:17" s="30" customFormat="1" ht="15">
      <c r="I8" s="36"/>
      <c r="J8" s="37"/>
      <c r="K8" s="37"/>
      <c r="L8" s="37"/>
      <c r="M8" s="37"/>
      <c r="N8" s="37"/>
      <c r="O8" s="37"/>
      <c r="P8" s="37"/>
      <c r="Q8" s="37"/>
    </row>
    <row r="9" spans="9:17" s="30" customFormat="1" ht="15">
      <c r="I9" s="36"/>
      <c r="J9" s="37"/>
      <c r="K9" s="37"/>
      <c r="L9" s="37"/>
      <c r="M9" s="37"/>
      <c r="N9" s="37"/>
      <c r="O9" s="37"/>
      <c r="P9" s="37"/>
      <c r="Q9" s="37"/>
    </row>
    <row r="10" spans="1:17" s="30" customFormat="1" ht="15">
      <c r="A10" s="83" t="s">
        <v>137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37"/>
      <c r="Q10" s="37"/>
    </row>
    <row r="11" spans="1:17" s="30" customFormat="1" ht="15">
      <c r="A11" s="83" t="s">
        <v>138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7"/>
      <c r="Q11" s="37"/>
    </row>
    <row r="12" spans="1:17" s="30" customFormat="1" ht="15">
      <c r="A12" s="83" t="s">
        <v>197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37"/>
      <c r="Q12" s="37"/>
    </row>
    <row r="13" spans="1:10" ht="1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5" customHeight="1">
      <c r="A14" s="80" t="s">
        <v>120</v>
      </c>
      <c r="B14" s="96" t="s">
        <v>189</v>
      </c>
      <c r="C14" s="105" t="s">
        <v>128</v>
      </c>
      <c r="D14" s="98" t="s">
        <v>129</v>
      </c>
      <c r="E14" s="95" t="s">
        <v>130</v>
      </c>
      <c r="F14" s="95"/>
      <c r="G14" s="95"/>
      <c r="H14" s="95"/>
      <c r="I14" s="95"/>
      <c r="J14" s="85" t="s">
        <v>136</v>
      </c>
      <c r="K14" s="85"/>
      <c r="L14" s="85"/>
      <c r="M14" s="85"/>
      <c r="N14" s="85"/>
      <c r="O14" s="85"/>
      <c r="P14" s="85"/>
      <c r="Q14" s="85"/>
    </row>
    <row r="15" spans="1:17" ht="18" customHeight="1">
      <c r="A15" s="80"/>
      <c r="B15" s="96"/>
      <c r="C15" s="105"/>
      <c r="D15" s="98"/>
      <c r="E15" s="97" t="s">
        <v>131</v>
      </c>
      <c r="F15" s="80" t="s">
        <v>132</v>
      </c>
      <c r="G15" s="80" t="s">
        <v>133</v>
      </c>
      <c r="H15" s="80" t="s">
        <v>134</v>
      </c>
      <c r="I15" s="80" t="s">
        <v>135</v>
      </c>
      <c r="J15" s="85"/>
      <c r="K15" s="85"/>
      <c r="L15" s="85"/>
      <c r="M15" s="85"/>
      <c r="N15" s="85"/>
      <c r="O15" s="85"/>
      <c r="P15" s="85"/>
      <c r="Q15" s="85"/>
    </row>
    <row r="16" spans="1:17" ht="46.5" customHeight="1">
      <c r="A16" s="80"/>
      <c r="B16" s="96"/>
      <c r="C16" s="105"/>
      <c r="D16" s="98"/>
      <c r="E16" s="97"/>
      <c r="F16" s="80"/>
      <c r="G16" s="80"/>
      <c r="H16" s="80"/>
      <c r="I16" s="80"/>
      <c r="J16" s="85"/>
      <c r="K16" s="85"/>
      <c r="L16" s="85"/>
      <c r="M16" s="85"/>
      <c r="N16" s="85"/>
      <c r="O16" s="85"/>
      <c r="P16" s="85"/>
      <c r="Q16" s="85"/>
    </row>
    <row r="17" spans="1:17" ht="12.75" customHeight="1">
      <c r="A17" s="33">
        <v>1</v>
      </c>
      <c r="B17" s="33">
        <v>2</v>
      </c>
      <c r="C17" s="34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94">
        <v>10</v>
      </c>
      <c r="K17" s="94"/>
      <c r="L17" s="94"/>
      <c r="M17" s="94"/>
      <c r="N17" s="94"/>
      <c r="O17" s="94"/>
      <c r="P17" s="94"/>
      <c r="Q17" s="94"/>
    </row>
    <row r="18" spans="1:17" ht="15.75" customHeight="1">
      <c r="A18" s="90" t="s">
        <v>33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32.25" customHeight="1">
      <c r="A19" s="92" t="s">
        <v>190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73.5" customHeight="1">
      <c r="A20" s="92" t="s">
        <v>191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85.5" customHeight="1">
      <c r="A21" s="78" t="s">
        <v>139</v>
      </c>
      <c r="B21" s="92" t="s">
        <v>123</v>
      </c>
      <c r="C21" s="80" t="s">
        <v>186</v>
      </c>
      <c r="D21" s="35" t="s">
        <v>19</v>
      </c>
      <c r="E21" s="58">
        <f>E24+E25+E26+E27+E28+E22+E23</f>
        <v>4299.679115790001</v>
      </c>
      <c r="F21" s="58">
        <f>F24+F25+F26+F27+F28+F22+F23</f>
        <v>4078.5665157900003</v>
      </c>
      <c r="G21" s="52">
        <f>G24+G25+G26+G27+G28+G22+G23</f>
        <v>221.1126</v>
      </c>
      <c r="H21" s="52">
        <f>H24+H25+H26+H27+H28+H22+H23</f>
        <v>0</v>
      </c>
      <c r="I21" s="63">
        <f>I24+I25+I26+I27+I28+I22+I23</f>
        <v>0</v>
      </c>
      <c r="J21" s="87" t="s">
        <v>171</v>
      </c>
      <c r="K21" s="87"/>
      <c r="L21" s="87"/>
      <c r="M21" s="87"/>
      <c r="N21" s="93" t="s">
        <v>168</v>
      </c>
      <c r="O21" s="93"/>
      <c r="P21" s="87" t="s">
        <v>170</v>
      </c>
      <c r="Q21" s="87"/>
    </row>
    <row r="22" spans="1:17" ht="15">
      <c r="A22" s="78"/>
      <c r="B22" s="92"/>
      <c r="C22" s="80"/>
      <c r="D22" s="32">
        <v>2020</v>
      </c>
      <c r="E22" s="58">
        <f aca="true" t="shared" si="0" ref="E22:E28">F22+G22+H22+I22</f>
        <v>644.3023157900001</v>
      </c>
      <c r="F22" s="58">
        <f>569.5297+1.06841579</f>
        <v>570.5981157900001</v>
      </c>
      <c r="G22" s="52">
        <v>73.7042</v>
      </c>
      <c r="H22" s="53">
        <v>0</v>
      </c>
      <c r="I22" s="63">
        <v>0</v>
      </c>
      <c r="J22" s="84" t="s">
        <v>232</v>
      </c>
      <c r="K22" s="84"/>
      <c r="L22" s="84"/>
      <c r="M22" s="84"/>
      <c r="N22" s="66">
        <v>87.6</v>
      </c>
      <c r="O22" s="66"/>
      <c r="P22" s="84">
        <v>24496</v>
      </c>
      <c r="Q22" s="84"/>
    </row>
    <row r="23" spans="1:17" ht="15">
      <c r="A23" s="78"/>
      <c r="B23" s="92"/>
      <c r="C23" s="80"/>
      <c r="D23" s="32">
        <v>2021</v>
      </c>
      <c r="E23" s="52">
        <f t="shared" si="0"/>
        <v>653.4532</v>
      </c>
      <c r="F23" s="52">
        <v>579.749</v>
      </c>
      <c r="G23" s="52">
        <v>73.7042</v>
      </c>
      <c r="H23" s="52">
        <f>H24</f>
        <v>0</v>
      </c>
      <c r="I23" s="63">
        <f>I24</f>
        <v>0</v>
      </c>
      <c r="J23" s="84" t="s">
        <v>233</v>
      </c>
      <c r="K23" s="84"/>
      <c r="L23" s="84"/>
      <c r="M23" s="84"/>
      <c r="N23" s="66">
        <v>89.5</v>
      </c>
      <c r="O23" s="66"/>
      <c r="P23" s="84">
        <f aca="true" t="shared" si="1" ref="P23:P28">P22</f>
        <v>24496</v>
      </c>
      <c r="Q23" s="84"/>
    </row>
    <row r="24" spans="1:17" ht="15">
      <c r="A24" s="78"/>
      <c r="B24" s="92"/>
      <c r="C24" s="80"/>
      <c r="D24" s="32">
        <v>2022</v>
      </c>
      <c r="E24" s="52">
        <f t="shared" si="0"/>
        <v>673.0152</v>
      </c>
      <c r="F24" s="52">
        <v>599.311</v>
      </c>
      <c r="G24" s="52">
        <v>73.7042</v>
      </c>
      <c r="H24" s="52">
        <v>0</v>
      </c>
      <c r="I24" s="63">
        <v>0</v>
      </c>
      <c r="J24" s="84" t="str">
        <f>J23</f>
        <v>25,5(*0)</v>
      </c>
      <c r="K24" s="84"/>
      <c r="L24" s="84"/>
      <c r="M24" s="84"/>
      <c r="N24" s="66">
        <v>89.7</v>
      </c>
      <c r="O24" s="66"/>
      <c r="P24" s="84">
        <f t="shared" si="1"/>
        <v>24496</v>
      </c>
      <c r="Q24" s="84"/>
    </row>
    <row r="25" spans="1:17" ht="15">
      <c r="A25" s="78"/>
      <c r="B25" s="92"/>
      <c r="C25" s="80"/>
      <c r="D25" s="32">
        <v>2023</v>
      </c>
      <c r="E25" s="52">
        <f t="shared" si="0"/>
        <v>582.2271</v>
      </c>
      <c r="F25" s="52">
        <v>582.2271</v>
      </c>
      <c r="G25" s="52">
        <v>0</v>
      </c>
      <c r="H25" s="52">
        <v>0</v>
      </c>
      <c r="I25" s="63">
        <v>0</v>
      </c>
      <c r="J25" s="84" t="str">
        <f>J24</f>
        <v>25,5(*0)</v>
      </c>
      <c r="K25" s="84"/>
      <c r="L25" s="84"/>
      <c r="M25" s="84"/>
      <c r="N25" s="66">
        <f>N24</f>
        <v>89.7</v>
      </c>
      <c r="O25" s="66"/>
      <c r="P25" s="84">
        <f t="shared" si="1"/>
        <v>24496</v>
      </c>
      <c r="Q25" s="84"/>
    </row>
    <row r="26" spans="1:17" ht="15">
      <c r="A26" s="78"/>
      <c r="B26" s="92"/>
      <c r="C26" s="80"/>
      <c r="D26" s="32">
        <v>2024</v>
      </c>
      <c r="E26" s="52">
        <f t="shared" si="0"/>
        <v>582.2271</v>
      </c>
      <c r="F26" s="52">
        <v>582.2271</v>
      </c>
      <c r="G26" s="52">
        <v>0</v>
      </c>
      <c r="H26" s="52">
        <v>0</v>
      </c>
      <c r="I26" s="63">
        <v>0</v>
      </c>
      <c r="J26" s="84" t="str">
        <f>J25</f>
        <v>25,5(*0)</v>
      </c>
      <c r="K26" s="84"/>
      <c r="L26" s="84"/>
      <c r="M26" s="84"/>
      <c r="N26" s="66">
        <f>N25</f>
        <v>89.7</v>
      </c>
      <c r="O26" s="66"/>
      <c r="P26" s="84">
        <f t="shared" si="1"/>
        <v>24496</v>
      </c>
      <c r="Q26" s="84"/>
    </row>
    <row r="27" spans="1:17" ht="15">
      <c r="A27" s="78"/>
      <c r="B27" s="92"/>
      <c r="C27" s="80"/>
      <c r="D27" s="32">
        <v>2025</v>
      </c>
      <c r="E27" s="52">
        <f t="shared" si="0"/>
        <v>582.2271</v>
      </c>
      <c r="F27" s="52">
        <v>582.2271</v>
      </c>
      <c r="G27" s="52">
        <v>0</v>
      </c>
      <c r="H27" s="52">
        <v>0</v>
      </c>
      <c r="I27" s="63">
        <v>0</v>
      </c>
      <c r="J27" s="84" t="str">
        <f>J26</f>
        <v>25,5(*0)</v>
      </c>
      <c r="K27" s="84"/>
      <c r="L27" s="84"/>
      <c r="M27" s="84"/>
      <c r="N27" s="66">
        <f>N26</f>
        <v>89.7</v>
      </c>
      <c r="O27" s="66"/>
      <c r="P27" s="84">
        <f t="shared" si="1"/>
        <v>24496</v>
      </c>
      <c r="Q27" s="84"/>
    </row>
    <row r="28" spans="1:17" ht="15">
      <c r="A28" s="78"/>
      <c r="B28" s="92"/>
      <c r="C28" s="80"/>
      <c r="D28" s="32">
        <v>2026</v>
      </c>
      <c r="E28" s="52">
        <f t="shared" si="0"/>
        <v>582.2271</v>
      </c>
      <c r="F28" s="52">
        <v>582.2271</v>
      </c>
      <c r="G28" s="52">
        <v>0</v>
      </c>
      <c r="H28" s="52">
        <v>0</v>
      </c>
      <c r="I28" s="63">
        <v>0</v>
      </c>
      <c r="J28" s="84" t="str">
        <f>J27</f>
        <v>25,5(*0)</v>
      </c>
      <c r="K28" s="84"/>
      <c r="L28" s="84"/>
      <c r="M28" s="84"/>
      <c r="N28" s="66">
        <f>N27</f>
        <v>89.7</v>
      </c>
      <c r="O28" s="66"/>
      <c r="P28" s="84">
        <f t="shared" si="1"/>
        <v>24496</v>
      </c>
      <c r="Q28" s="84"/>
    </row>
    <row r="29" spans="1:17" ht="54" customHeight="1">
      <c r="A29" s="78" t="s">
        <v>140</v>
      </c>
      <c r="B29" s="92" t="s">
        <v>121</v>
      </c>
      <c r="C29" s="80" t="s">
        <v>187</v>
      </c>
      <c r="D29" s="35" t="s">
        <v>19</v>
      </c>
      <c r="E29" s="52">
        <f>E32+E33+E34+E35+E36+E30+E31</f>
        <v>85.986</v>
      </c>
      <c r="F29" s="52">
        <f>F32+F33+F34+F35+F36+F30+F31</f>
        <v>85.986</v>
      </c>
      <c r="G29" s="52">
        <f>G32+G33+G34+G35+G36+G30+G31</f>
        <v>0</v>
      </c>
      <c r="H29" s="52">
        <f>H32+H33+H34+H35+H36+H30+H31</f>
        <v>0</v>
      </c>
      <c r="I29" s="63">
        <f>I32+I33+I34+I35+I36+I30+I31</f>
        <v>0</v>
      </c>
      <c r="J29" s="93" t="s">
        <v>168</v>
      </c>
      <c r="K29" s="93"/>
      <c r="L29" s="93"/>
      <c r="M29" s="87" t="s">
        <v>171</v>
      </c>
      <c r="N29" s="87"/>
      <c r="O29" s="87"/>
      <c r="P29" s="87"/>
      <c r="Q29" s="87"/>
    </row>
    <row r="30" spans="1:17" ht="15">
      <c r="A30" s="78"/>
      <c r="B30" s="92"/>
      <c r="C30" s="80"/>
      <c r="D30" s="32">
        <v>2020</v>
      </c>
      <c r="E30" s="52">
        <f aca="true" t="shared" si="2" ref="E30:E36">F30+G30+H30+I30</f>
        <v>11.873199999999999</v>
      </c>
      <c r="F30" s="52">
        <f>12.1388-0.255-0.0106</f>
        <v>11.873199999999999</v>
      </c>
      <c r="G30" s="52">
        <v>0</v>
      </c>
      <c r="H30" s="52">
        <v>0</v>
      </c>
      <c r="I30" s="63">
        <v>0</v>
      </c>
      <c r="J30" s="66">
        <f>N22</f>
        <v>87.6</v>
      </c>
      <c r="K30" s="66"/>
      <c r="L30" s="66"/>
      <c r="M30" s="87" t="str">
        <f>J22</f>
        <v>25,5(*0,51)</v>
      </c>
      <c r="N30" s="87"/>
      <c r="O30" s="87"/>
      <c r="P30" s="87"/>
      <c r="Q30" s="87"/>
    </row>
    <row r="31" spans="1:17" ht="15">
      <c r="A31" s="78"/>
      <c r="B31" s="92"/>
      <c r="C31" s="80"/>
      <c r="D31" s="32">
        <v>2021</v>
      </c>
      <c r="E31" s="52">
        <f t="shared" si="2"/>
        <v>11.0188</v>
      </c>
      <c r="F31" s="52">
        <v>11.0188</v>
      </c>
      <c r="G31" s="52">
        <f>G32</f>
        <v>0</v>
      </c>
      <c r="H31" s="52">
        <f>H32</f>
        <v>0</v>
      </c>
      <c r="I31" s="63">
        <f>I32</f>
        <v>0</v>
      </c>
      <c r="J31" s="66">
        <v>89.5</v>
      </c>
      <c r="K31" s="66"/>
      <c r="L31" s="66"/>
      <c r="M31" s="84" t="str">
        <f aca="true" t="shared" si="3" ref="M31:M36">J23</f>
        <v>25,5(*0)</v>
      </c>
      <c r="N31" s="84"/>
      <c r="O31" s="84"/>
      <c r="P31" s="84"/>
      <c r="Q31" s="84"/>
    </row>
    <row r="32" spans="1:17" ht="15">
      <c r="A32" s="78"/>
      <c r="B32" s="92"/>
      <c r="C32" s="80"/>
      <c r="D32" s="32">
        <v>2022</v>
      </c>
      <c r="E32" s="52">
        <f t="shared" si="2"/>
        <v>12.6188</v>
      </c>
      <c r="F32" s="52">
        <v>12.6188</v>
      </c>
      <c r="G32" s="52">
        <v>0</v>
      </c>
      <c r="H32" s="52">
        <v>0</v>
      </c>
      <c r="I32" s="63">
        <v>0</v>
      </c>
      <c r="J32" s="66">
        <v>89.7</v>
      </c>
      <c r="K32" s="66"/>
      <c r="L32" s="66"/>
      <c r="M32" s="84" t="str">
        <f t="shared" si="3"/>
        <v>25,5(*0)</v>
      </c>
      <c r="N32" s="84"/>
      <c r="O32" s="84"/>
      <c r="P32" s="84"/>
      <c r="Q32" s="84"/>
    </row>
    <row r="33" spans="1:17" ht="15">
      <c r="A33" s="78"/>
      <c r="B33" s="92"/>
      <c r="C33" s="80"/>
      <c r="D33" s="32">
        <v>2023</v>
      </c>
      <c r="E33" s="52">
        <f t="shared" si="2"/>
        <v>12.6188</v>
      </c>
      <c r="F33" s="52">
        <v>12.6188</v>
      </c>
      <c r="G33" s="52">
        <v>0</v>
      </c>
      <c r="H33" s="52">
        <v>0</v>
      </c>
      <c r="I33" s="63">
        <v>0</v>
      </c>
      <c r="J33" s="66">
        <v>89.7</v>
      </c>
      <c r="K33" s="66"/>
      <c r="L33" s="66"/>
      <c r="M33" s="84" t="str">
        <f t="shared" si="3"/>
        <v>25,5(*0)</v>
      </c>
      <c r="N33" s="84"/>
      <c r="O33" s="84"/>
      <c r="P33" s="84"/>
      <c r="Q33" s="84"/>
    </row>
    <row r="34" spans="1:17" ht="15">
      <c r="A34" s="78"/>
      <c r="B34" s="92"/>
      <c r="C34" s="80"/>
      <c r="D34" s="32">
        <v>2024</v>
      </c>
      <c r="E34" s="52">
        <f t="shared" si="2"/>
        <v>12.6188</v>
      </c>
      <c r="F34" s="52">
        <v>12.6188</v>
      </c>
      <c r="G34" s="52">
        <v>0</v>
      </c>
      <c r="H34" s="52">
        <v>0</v>
      </c>
      <c r="I34" s="63">
        <v>0</v>
      </c>
      <c r="J34" s="66">
        <v>89.7</v>
      </c>
      <c r="K34" s="66"/>
      <c r="L34" s="66"/>
      <c r="M34" s="84" t="str">
        <f t="shared" si="3"/>
        <v>25,5(*0)</v>
      </c>
      <c r="N34" s="84"/>
      <c r="O34" s="84"/>
      <c r="P34" s="84"/>
      <c r="Q34" s="84"/>
    </row>
    <row r="35" spans="1:17" ht="15">
      <c r="A35" s="78"/>
      <c r="B35" s="92"/>
      <c r="C35" s="80"/>
      <c r="D35" s="32">
        <v>2025</v>
      </c>
      <c r="E35" s="52">
        <f t="shared" si="2"/>
        <v>12.6188</v>
      </c>
      <c r="F35" s="52">
        <v>12.6188</v>
      </c>
      <c r="G35" s="52">
        <v>0</v>
      </c>
      <c r="H35" s="52">
        <v>0</v>
      </c>
      <c r="I35" s="63">
        <v>0</v>
      </c>
      <c r="J35" s="66">
        <v>89.7</v>
      </c>
      <c r="K35" s="66"/>
      <c r="L35" s="66"/>
      <c r="M35" s="84" t="str">
        <f t="shared" si="3"/>
        <v>25,5(*0)</v>
      </c>
      <c r="N35" s="84"/>
      <c r="O35" s="84"/>
      <c r="P35" s="84"/>
      <c r="Q35" s="84"/>
    </row>
    <row r="36" spans="1:17" ht="15">
      <c r="A36" s="78"/>
      <c r="B36" s="92"/>
      <c r="C36" s="80"/>
      <c r="D36" s="32">
        <v>2026</v>
      </c>
      <c r="E36" s="52">
        <f t="shared" si="2"/>
        <v>12.6188</v>
      </c>
      <c r="F36" s="52">
        <v>12.6188</v>
      </c>
      <c r="G36" s="52">
        <v>0</v>
      </c>
      <c r="H36" s="52">
        <v>0</v>
      </c>
      <c r="I36" s="63">
        <v>0</v>
      </c>
      <c r="J36" s="66">
        <v>89.7</v>
      </c>
      <c r="K36" s="66"/>
      <c r="L36" s="66"/>
      <c r="M36" s="84" t="str">
        <f t="shared" si="3"/>
        <v>25,5(*0)</v>
      </c>
      <c r="N36" s="84"/>
      <c r="O36" s="84"/>
      <c r="P36" s="84"/>
      <c r="Q36" s="84"/>
    </row>
    <row r="37" spans="1:17" ht="170.25" customHeight="1">
      <c r="A37" s="78" t="s">
        <v>141</v>
      </c>
      <c r="B37" s="92" t="s">
        <v>124</v>
      </c>
      <c r="C37" s="80" t="s">
        <v>186</v>
      </c>
      <c r="D37" s="35" t="s">
        <v>19</v>
      </c>
      <c r="E37" s="54">
        <f>E40+E41+E42+E43+E44+E38+E39</f>
        <v>28243.939300000002</v>
      </c>
      <c r="F37" s="54">
        <f>F40+F41+F42+F43+F44+F38+F39</f>
        <v>0</v>
      </c>
      <c r="G37" s="54">
        <f>G40+G41+G42+G43+G44+G38+G39</f>
        <v>28243.939300000002</v>
      </c>
      <c r="H37" s="54">
        <f>H40+H41+H42+H43+H44+H38+H39</f>
        <v>0</v>
      </c>
      <c r="I37" s="64">
        <f>I40+I41+I42+I43+I44+I38+I39</f>
        <v>0</v>
      </c>
      <c r="J37" s="46" t="s">
        <v>168</v>
      </c>
      <c r="K37" s="46" t="s">
        <v>184</v>
      </c>
      <c r="L37" s="47" t="s">
        <v>172</v>
      </c>
      <c r="M37" s="87" t="s">
        <v>169</v>
      </c>
      <c r="N37" s="87"/>
      <c r="O37" s="49" t="s">
        <v>185</v>
      </c>
      <c r="P37" s="87" t="s">
        <v>182</v>
      </c>
      <c r="Q37" s="87"/>
    </row>
    <row r="38" spans="1:17" ht="15">
      <c r="A38" s="78"/>
      <c r="B38" s="92"/>
      <c r="C38" s="80"/>
      <c r="D38" s="32">
        <v>2020</v>
      </c>
      <c r="E38" s="52">
        <f aca="true" t="shared" si="4" ref="E38:E44">F38+G38+H38+I38</f>
        <v>3859.1648</v>
      </c>
      <c r="F38" s="52">
        <v>0</v>
      </c>
      <c r="G38" s="52">
        <f>3842.7187+3.2107+4.7973+3.5124+4.9257</f>
        <v>3859.1648</v>
      </c>
      <c r="H38" s="52">
        <v>0</v>
      </c>
      <c r="I38" s="63">
        <v>0</v>
      </c>
      <c r="J38" s="48">
        <f>J30</f>
        <v>87.6</v>
      </c>
      <c r="K38" s="45">
        <v>100</v>
      </c>
      <c r="L38" s="51">
        <v>43.7</v>
      </c>
      <c r="M38" s="86" t="s">
        <v>230</v>
      </c>
      <c r="N38" s="86"/>
      <c r="O38" s="50">
        <v>100</v>
      </c>
      <c r="P38" s="88" t="s">
        <v>183</v>
      </c>
      <c r="Q38" s="88"/>
    </row>
    <row r="39" spans="1:17" ht="15">
      <c r="A39" s="78"/>
      <c r="B39" s="92"/>
      <c r="C39" s="80"/>
      <c r="D39" s="32">
        <v>2021</v>
      </c>
      <c r="E39" s="52">
        <f t="shared" si="4"/>
        <v>4088.5358</v>
      </c>
      <c r="F39" s="52">
        <f>F40</f>
        <v>0</v>
      </c>
      <c r="G39" s="52">
        <v>4088.5358</v>
      </c>
      <c r="H39" s="52">
        <f>H40</f>
        <v>0</v>
      </c>
      <c r="I39" s="63">
        <f>I40</f>
        <v>0</v>
      </c>
      <c r="J39" s="48">
        <v>89.5</v>
      </c>
      <c r="K39" s="45">
        <v>100</v>
      </c>
      <c r="L39" s="51">
        <v>45.4</v>
      </c>
      <c r="M39" s="86" t="str">
        <f>M38</f>
        <v>24496; 28543 (29066)</v>
      </c>
      <c r="N39" s="86"/>
      <c r="O39" s="50">
        <f>O38</f>
        <v>100</v>
      </c>
      <c r="P39" s="88" t="str">
        <f>P38</f>
        <v>не менее 99</v>
      </c>
      <c r="Q39" s="88"/>
    </row>
    <row r="40" spans="1:17" ht="15">
      <c r="A40" s="78"/>
      <c r="B40" s="92"/>
      <c r="C40" s="80"/>
      <c r="D40" s="32">
        <v>2022</v>
      </c>
      <c r="E40" s="52">
        <f t="shared" si="4"/>
        <v>4332.1103</v>
      </c>
      <c r="F40" s="52">
        <v>0</v>
      </c>
      <c r="G40" s="52">
        <v>4332.1103</v>
      </c>
      <c r="H40" s="52">
        <v>0</v>
      </c>
      <c r="I40" s="63">
        <v>0</v>
      </c>
      <c r="J40" s="48">
        <v>89.7</v>
      </c>
      <c r="K40" s="45">
        <v>100</v>
      </c>
      <c r="L40" s="45">
        <v>46.8</v>
      </c>
      <c r="M40" s="86" t="str">
        <f>M39</f>
        <v>24496; 28543 (29066)</v>
      </c>
      <c r="N40" s="86"/>
      <c r="O40" s="50">
        <v>100</v>
      </c>
      <c r="P40" s="88" t="s">
        <v>183</v>
      </c>
      <c r="Q40" s="88"/>
    </row>
    <row r="41" spans="1:17" ht="15">
      <c r="A41" s="78"/>
      <c r="B41" s="92"/>
      <c r="C41" s="80"/>
      <c r="D41" s="32">
        <v>2023</v>
      </c>
      <c r="E41" s="52">
        <f t="shared" si="4"/>
        <v>3991.0321</v>
      </c>
      <c r="F41" s="52">
        <v>0</v>
      </c>
      <c r="G41" s="52">
        <v>3991.0321</v>
      </c>
      <c r="H41" s="52">
        <v>0</v>
      </c>
      <c r="I41" s="63">
        <v>0</v>
      </c>
      <c r="J41" s="48">
        <v>89.7</v>
      </c>
      <c r="K41" s="45">
        <v>100</v>
      </c>
      <c r="L41" s="45">
        <v>40.9</v>
      </c>
      <c r="M41" s="86" t="str">
        <f aca="true" t="shared" si="5" ref="L41:M44">M40</f>
        <v>24496; 28543 (29066)</v>
      </c>
      <c r="N41" s="86"/>
      <c r="O41" s="50">
        <f aca="true" t="shared" si="6" ref="O41:P44">O40</f>
        <v>100</v>
      </c>
      <c r="P41" s="88" t="str">
        <f t="shared" si="6"/>
        <v>не менее 99</v>
      </c>
      <c r="Q41" s="88"/>
    </row>
    <row r="42" spans="1:17" ht="15">
      <c r="A42" s="78"/>
      <c r="B42" s="92"/>
      <c r="C42" s="80"/>
      <c r="D42" s="32">
        <v>2024</v>
      </c>
      <c r="E42" s="52">
        <f t="shared" si="4"/>
        <v>3991.0321</v>
      </c>
      <c r="F42" s="52">
        <v>0</v>
      </c>
      <c r="G42" s="52">
        <v>3991.0321</v>
      </c>
      <c r="H42" s="52">
        <v>0</v>
      </c>
      <c r="I42" s="63">
        <v>0</v>
      </c>
      <c r="J42" s="48">
        <v>89.7</v>
      </c>
      <c r="K42" s="45">
        <v>100</v>
      </c>
      <c r="L42" s="45">
        <f t="shared" si="5"/>
        <v>40.9</v>
      </c>
      <c r="M42" s="88" t="str">
        <f t="shared" si="5"/>
        <v>24496; 28543 (29066)</v>
      </c>
      <c r="N42" s="88"/>
      <c r="O42" s="50">
        <f t="shared" si="6"/>
        <v>100</v>
      </c>
      <c r="P42" s="88" t="str">
        <f t="shared" si="6"/>
        <v>не менее 99</v>
      </c>
      <c r="Q42" s="88"/>
    </row>
    <row r="43" spans="1:17" ht="15">
      <c r="A43" s="78"/>
      <c r="B43" s="92"/>
      <c r="C43" s="80"/>
      <c r="D43" s="32">
        <v>2025</v>
      </c>
      <c r="E43" s="52">
        <f t="shared" si="4"/>
        <v>3991.0321</v>
      </c>
      <c r="F43" s="52">
        <v>0</v>
      </c>
      <c r="G43" s="52">
        <v>3991.0321</v>
      </c>
      <c r="H43" s="52">
        <v>0</v>
      </c>
      <c r="I43" s="63">
        <v>0</v>
      </c>
      <c r="J43" s="48">
        <v>89.7</v>
      </c>
      <c r="K43" s="45">
        <v>100</v>
      </c>
      <c r="L43" s="45">
        <f t="shared" si="5"/>
        <v>40.9</v>
      </c>
      <c r="M43" s="88" t="str">
        <f t="shared" si="5"/>
        <v>24496; 28543 (29066)</v>
      </c>
      <c r="N43" s="88"/>
      <c r="O43" s="50">
        <f t="shared" si="6"/>
        <v>100</v>
      </c>
      <c r="P43" s="88" t="str">
        <f t="shared" si="6"/>
        <v>не менее 99</v>
      </c>
      <c r="Q43" s="88"/>
    </row>
    <row r="44" spans="1:17" ht="15">
      <c r="A44" s="78"/>
      <c r="B44" s="92"/>
      <c r="C44" s="80"/>
      <c r="D44" s="32">
        <v>2026</v>
      </c>
      <c r="E44" s="52">
        <f t="shared" si="4"/>
        <v>3991.0321</v>
      </c>
      <c r="F44" s="52">
        <v>0</v>
      </c>
      <c r="G44" s="52">
        <v>3991.0321</v>
      </c>
      <c r="H44" s="52">
        <v>0</v>
      </c>
      <c r="I44" s="63">
        <v>0</v>
      </c>
      <c r="J44" s="48">
        <v>89.7</v>
      </c>
      <c r="K44" s="45">
        <v>100</v>
      </c>
      <c r="L44" s="45">
        <f t="shared" si="5"/>
        <v>40.9</v>
      </c>
      <c r="M44" s="88" t="str">
        <f t="shared" si="5"/>
        <v>24496; 28543 (29066)</v>
      </c>
      <c r="N44" s="88"/>
      <c r="O44" s="50">
        <f t="shared" si="6"/>
        <v>100</v>
      </c>
      <c r="P44" s="88" t="str">
        <f t="shared" si="6"/>
        <v>не менее 99</v>
      </c>
      <c r="Q44" s="88"/>
    </row>
    <row r="45" spans="1:17" ht="54" customHeight="1">
      <c r="A45" s="78" t="s">
        <v>142</v>
      </c>
      <c r="B45" s="79" t="s">
        <v>201</v>
      </c>
      <c r="C45" s="80" t="s">
        <v>186</v>
      </c>
      <c r="D45" s="35" t="s">
        <v>19</v>
      </c>
      <c r="E45" s="52">
        <f>SUM(E46:E52)</f>
        <v>31.7406</v>
      </c>
      <c r="F45" s="52">
        <f>SUM(F46:F52)</f>
        <v>0</v>
      </c>
      <c r="G45" s="52">
        <f>SUM(G46:G52)</f>
        <v>31.7406</v>
      </c>
      <c r="H45" s="52">
        <f>SUM(H46:H52)</f>
        <v>0</v>
      </c>
      <c r="I45" s="63">
        <f>SUM(I46:I52)</f>
        <v>0</v>
      </c>
      <c r="J45" s="66" t="s">
        <v>192</v>
      </c>
      <c r="K45" s="66"/>
      <c r="L45" s="66"/>
      <c r="M45" s="66"/>
      <c r="N45" s="66"/>
      <c r="O45" s="66"/>
      <c r="P45" s="66"/>
      <c r="Q45" s="66"/>
    </row>
    <row r="46" spans="1:17" ht="15">
      <c r="A46" s="78"/>
      <c r="B46" s="79"/>
      <c r="C46" s="80"/>
      <c r="D46" s="32">
        <v>2020</v>
      </c>
      <c r="E46" s="52">
        <f aca="true" t="shared" si="7" ref="E46:E52">F46+G46+H46+I46</f>
        <v>4.9502</v>
      </c>
      <c r="F46" s="52">
        <v>0</v>
      </c>
      <c r="G46" s="52">
        <f>4.9502</f>
        <v>4.9502</v>
      </c>
      <c r="H46" s="52">
        <v>0</v>
      </c>
      <c r="I46" s="63">
        <v>0</v>
      </c>
      <c r="J46" s="67">
        <v>100</v>
      </c>
      <c r="K46" s="67"/>
      <c r="L46" s="67"/>
      <c r="M46" s="67"/>
      <c r="N46" s="67"/>
      <c r="O46" s="67"/>
      <c r="P46" s="67"/>
      <c r="Q46" s="67"/>
    </row>
    <row r="47" spans="1:17" ht="15">
      <c r="A47" s="78"/>
      <c r="B47" s="79"/>
      <c r="C47" s="80"/>
      <c r="D47" s="32">
        <v>2021</v>
      </c>
      <c r="E47" s="52">
        <f t="shared" si="7"/>
        <v>4.9502</v>
      </c>
      <c r="F47" s="52">
        <v>0</v>
      </c>
      <c r="G47" s="52">
        <v>4.9502</v>
      </c>
      <c r="H47" s="52">
        <v>0</v>
      </c>
      <c r="I47" s="63">
        <v>0</v>
      </c>
      <c r="J47" s="67">
        <v>100</v>
      </c>
      <c r="K47" s="67"/>
      <c r="L47" s="67"/>
      <c r="M47" s="67"/>
      <c r="N47" s="67"/>
      <c r="O47" s="67"/>
      <c r="P47" s="67"/>
      <c r="Q47" s="67"/>
    </row>
    <row r="48" spans="1:17" ht="15">
      <c r="A48" s="78"/>
      <c r="B48" s="79"/>
      <c r="C48" s="80"/>
      <c r="D48" s="32">
        <v>2022</v>
      </c>
      <c r="E48" s="52">
        <f t="shared" si="7"/>
        <v>4.9502</v>
      </c>
      <c r="F48" s="52">
        <v>0</v>
      </c>
      <c r="G48" s="52">
        <v>4.9502</v>
      </c>
      <c r="H48" s="52">
        <v>0</v>
      </c>
      <c r="I48" s="63">
        <v>0</v>
      </c>
      <c r="J48" s="67">
        <v>100</v>
      </c>
      <c r="K48" s="67"/>
      <c r="L48" s="67"/>
      <c r="M48" s="67"/>
      <c r="N48" s="67"/>
      <c r="O48" s="67"/>
      <c r="P48" s="67"/>
      <c r="Q48" s="67"/>
    </row>
    <row r="49" spans="1:17" ht="15">
      <c r="A49" s="78"/>
      <c r="B49" s="79"/>
      <c r="C49" s="80"/>
      <c r="D49" s="32">
        <v>2023</v>
      </c>
      <c r="E49" s="52">
        <f t="shared" si="7"/>
        <v>4.2225</v>
      </c>
      <c r="F49" s="52">
        <v>0</v>
      </c>
      <c r="G49" s="52">
        <v>4.2225</v>
      </c>
      <c r="H49" s="52">
        <v>0</v>
      </c>
      <c r="I49" s="63">
        <v>0</v>
      </c>
      <c r="J49" s="67">
        <v>100</v>
      </c>
      <c r="K49" s="67"/>
      <c r="L49" s="67"/>
      <c r="M49" s="67"/>
      <c r="N49" s="67"/>
      <c r="O49" s="67"/>
      <c r="P49" s="67"/>
      <c r="Q49" s="67"/>
    </row>
    <row r="50" spans="1:17" ht="15">
      <c r="A50" s="78"/>
      <c r="B50" s="79"/>
      <c r="C50" s="80"/>
      <c r="D50" s="32">
        <v>2024</v>
      </c>
      <c r="E50" s="52">
        <f t="shared" si="7"/>
        <v>4.2225</v>
      </c>
      <c r="F50" s="52">
        <v>0</v>
      </c>
      <c r="G50" s="52">
        <v>4.2225</v>
      </c>
      <c r="H50" s="52">
        <v>0</v>
      </c>
      <c r="I50" s="63">
        <v>0</v>
      </c>
      <c r="J50" s="67">
        <v>100</v>
      </c>
      <c r="K50" s="67"/>
      <c r="L50" s="67"/>
      <c r="M50" s="67"/>
      <c r="N50" s="67"/>
      <c r="O50" s="67"/>
      <c r="P50" s="67"/>
      <c r="Q50" s="67"/>
    </row>
    <row r="51" spans="1:17" ht="15">
      <c r="A51" s="78"/>
      <c r="B51" s="79"/>
      <c r="C51" s="80"/>
      <c r="D51" s="32">
        <v>2025</v>
      </c>
      <c r="E51" s="52">
        <f t="shared" si="7"/>
        <v>4.2225</v>
      </c>
      <c r="F51" s="52">
        <v>0</v>
      </c>
      <c r="G51" s="52">
        <v>4.2225</v>
      </c>
      <c r="H51" s="52">
        <v>0</v>
      </c>
      <c r="I51" s="63">
        <v>0</v>
      </c>
      <c r="J51" s="67">
        <v>100</v>
      </c>
      <c r="K51" s="67"/>
      <c r="L51" s="67"/>
      <c r="M51" s="67"/>
      <c r="N51" s="67"/>
      <c r="O51" s="67"/>
      <c r="P51" s="67"/>
      <c r="Q51" s="67"/>
    </row>
    <row r="52" spans="1:17" ht="35.25" customHeight="1">
      <c r="A52" s="78"/>
      <c r="B52" s="79"/>
      <c r="C52" s="80"/>
      <c r="D52" s="32">
        <v>2026</v>
      </c>
      <c r="E52" s="52">
        <f t="shared" si="7"/>
        <v>4.2225</v>
      </c>
      <c r="F52" s="52">
        <v>0</v>
      </c>
      <c r="G52" s="52">
        <v>4.2225</v>
      </c>
      <c r="H52" s="52">
        <v>0</v>
      </c>
      <c r="I52" s="63">
        <v>0</v>
      </c>
      <c r="J52" s="67">
        <v>100</v>
      </c>
      <c r="K52" s="67"/>
      <c r="L52" s="67"/>
      <c r="M52" s="67"/>
      <c r="N52" s="67"/>
      <c r="O52" s="67"/>
      <c r="P52" s="67"/>
      <c r="Q52" s="67"/>
    </row>
    <row r="53" spans="1:17" ht="63" customHeight="1">
      <c r="A53" s="78" t="s">
        <v>143</v>
      </c>
      <c r="B53" s="92" t="s">
        <v>202</v>
      </c>
      <c r="C53" s="80" t="s">
        <v>186</v>
      </c>
      <c r="D53" s="35" t="s">
        <v>19</v>
      </c>
      <c r="E53" s="52">
        <f>E56+E57+E58+E59+E60+E54+E55</f>
        <v>2594.5166199999994</v>
      </c>
      <c r="F53" s="52">
        <f>F56+F57+F58+F59+F60+F54+F55</f>
        <v>2569.2746199999997</v>
      </c>
      <c r="G53" s="52">
        <f>G56+G57+G58+G59+G60+G54+G55</f>
        <v>25.241999999999997</v>
      </c>
      <c r="H53" s="52">
        <f>H56+H57+H58+H59+H60+H54+H55</f>
        <v>0</v>
      </c>
      <c r="I53" s="63">
        <f>I56+I57+I58+I59+I60+I54+I55</f>
        <v>0</v>
      </c>
      <c r="J53" s="93" t="s">
        <v>173</v>
      </c>
      <c r="K53" s="93"/>
      <c r="L53" s="93"/>
      <c r="M53" s="87" t="s">
        <v>172</v>
      </c>
      <c r="N53" s="87"/>
      <c r="O53" s="87" t="s">
        <v>174</v>
      </c>
      <c r="P53" s="87"/>
      <c r="Q53" s="87"/>
    </row>
    <row r="54" spans="1:17" ht="15">
      <c r="A54" s="78"/>
      <c r="B54" s="92"/>
      <c r="C54" s="80"/>
      <c r="D54" s="32">
        <v>2020</v>
      </c>
      <c r="E54" s="52">
        <f aca="true" t="shared" si="8" ref="E54:E60">F54+G54+H54+I54</f>
        <v>393.9447</v>
      </c>
      <c r="F54" s="52">
        <f>385.4116+0.1857-0.0666</f>
        <v>385.5307</v>
      </c>
      <c r="G54" s="52">
        <v>8.414</v>
      </c>
      <c r="H54" s="52">
        <v>0</v>
      </c>
      <c r="I54" s="63">
        <v>0</v>
      </c>
      <c r="J54" s="82" t="s">
        <v>215</v>
      </c>
      <c r="K54" s="82"/>
      <c r="L54" s="82"/>
      <c r="M54" s="87">
        <f>L38</f>
        <v>43.7</v>
      </c>
      <c r="N54" s="87"/>
      <c r="O54" s="84" t="s">
        <v>231</v>
      </c>
      <c r="P54" s="84"/>
      <c r="Q54" s="84"/>
    </row>
    <row r="55" spans="1:17" ht="15">
      <c r="A55" s="78"/>
      <c r="B55" s="92"/>
      <c r="C55" s="80"/>
      <c r="D55" s="32">
        <v>2021</v>
      </c>
      <c r="E55" s="52">
        <f t="shared" si="8"/>
        <v>409.10013599999996</v>
      </c>
      <c r="F55" s="52">
        <f>400.9188-0.232664</f>
        <v>400.686136</v>
      </c>
      <c r="G55" s="52">
        <v>8.414</v>
      </c>
      <c r="H55" s="52">
        <f>H56</f>
        <v>0</v>
      </c>
      <c r="I55" s="63">
        <f>I56</f>
        <v>0</v>
      </c>
      <c r="J55" s="82" t="str">
        <f aca="true" t="shared" si="9" ref="J55:J60">J54</f>
        <v>не более 6,4</v>
      </c>
      <c r="K55" s="82"/>
      <c r="L55" s="82"/>
      <c r="M55" s="87">
        <f>L39</f>
        <v>45.4</v>
      </c>
      <c r="N55" s="87"/>
      <c r="O55" s="84" t="str">
        <f aca="true" t="shared" si="10" ref="O55:O60">O54</f>
        <v>28543 (29066)</v>
      </c>
      <c r="P55" s="84"/>
      <c r="Q55" s="84"/>
    </row>
    <row r="56" spans="1:17" ht="15">
      <c r="A56" s="78"/>
      <c r="B56" s="92"/>
      <c r="C56" s="80"/>
      <c r="D56" s="32">
        <v>2022</v>
      </c>
      <c r="E56" s="52">
        <f t="shared" si="8"/>
        <v>418.642</v>
      </c>
      <c r="F56" s="52">
        <v>410.228</v>
      </c>
      <c r="G56" s="52">
        <v>8.414</v>
      </c>
      <c r="H56" s="52">
        <v>0</v>
      </c>
      <c r="I56" s="63">
        <v>0</v>
      </c>
      <c r="J56" s="82" t="str">
        <f t="shared" si="9"/>
        <v>не более 6,4</v>
      </c>
      <c r="K56" s="82"/>
      <c r="L56" s="82"/>
      <c r="M56" s="86">
        <f>L40</f>
        <v>46.8</v>
      </c>
      <c r="N56" s="86"/>
      <c r="O56" s="84" t="str">
        <f t="shared" si="10"/>
        <v>28543 (29066)</v>
      </c>
      <c r="P56" s="84"/>
      <c r="Q56" s="84"/>
    </row>
    <row r="57" spans="1:17" ht="15">
      <c r="A57" s="78"/>
      <c r="B57" s="92"/>
      <c r="C57" s="80"/>
      <c r="D57" s="32">
        <v>2023</v>
      </c>
      <c r="E57" s="52">
        <f t="shared" si="8"/>
        <v>343.20744599999995</v>
      </c>
      <c r="F57" s="52">
        <v>343.20744599999995</v>
      </c>
      <c r="G57" s="52">
        <v>0</v>
      </c>
      <c r="H57" s="52">
        <v>0</v>
      </c>
      <c r="I57" s="63">
        <v>0</v>
      </c>
      <c r="J57" s="82" t="str">
        <f t="shared" si="9"/>
        <v>не более 6,4</v>
      </c>
      <c r="K57" s="82"/>
      <c r="L57" s="82"/>
      <c r="M57" s="86">
        <f>L41</f>
        <v>40.9</v>
      </c>
      <c r="N57" s="86"/>
      <c r="O57" s="84" t="str">
        <f t="shared" si="10"/>
        <v>28543 (29066)</v>
      </c>
      <c r="P57" s="84"/>
      <c r="Q57" s="84"/>
    </row>
    <row r="58" spans="1:17" ht="15">
      <c r="A58" s="78"/>
      <c r="B58" s="92"/>
      <c r="C58" s="80"/>
      <c r="D58" s="32">
        <v>2024</v>
      </c>
      <c r="E58" s="52">
        <f t="shared" si="8"/>
        <v>343.20744599999995</v>
      </c>
      <c r="F58" s="52">
        <v>343.20744599999995</v>
      </c>
      <c r="G58" s="52">
        <v>0</v>
      </c>
      <c r="H58" s="52">
        <v>0</v>
      </c>
      <c r="I58" s="63">
        <v>0</v>
      </c>
      <c r="J58" s="82" t="str">
        <f t="shared" si="9"/>
        <v>не более 6,4</v>
      </c>
      <c r="K58" s="82"/>
      <c r="L58" s="82"/>
      <c r="M58" s="88">
        <f>M57</f>
        <v>40.9</v>
      </c>
      <c r="N58" s="88"/>
      <c r="O58" s="84" t="str">
        <f t="shared" si="10"/>
        <v>28543 (29066)</v>
      </c>
      <c r="P58" s="84"/>
      <c r="Q58" s="84"/>
    </row>
    <row r="59" spans="1:17" ht="15">
      <c r="A59" s="78"/>
      <c r="B59" s="92"/>
      <c r="C59" s="80"/>
      <c r="D59" s="32">
        <v>2025</v>
      </c>
      <c r="E59" s="52">
        <f t="shared" si="8"/>
        <v>343.20744599999995</v>
      </c>
      <c r="F59" s="52">
        <v>343.20744599999995</v>
      </c>
      <c r="G59" s="52">
        <v>0</v>
      </c>
      <c r="H59" s="52">
        <v>0</v>
      </c>
      <c r="I59" s="63">
        <v>0</v>
      </c>
      <c r="J59" s="82" t="str">
        <f t="shared" si="9"/>
        <v>не более 6,4</v>
      </c>
      <c r="K59" s="82"/>
      <c r="L59" s="82"/>
      <c r="M59" s="88">
        <f>M58</f>
        <v>40.9</v>
      </c>
      <c r="N59" s="86"/>
      <c r="O59" s="84" t="str">
        <f t="shared" si="10"/>
        <v>28543 (29066)</v>
      </c>
      <c r="P59" s="84"/>
      <c r="Q59" s="84"/>
    </row>
    <row r="60" spans="1:17" ht="28.5" customHeight="1">
      <c r="A60" s="78"/>
      <c r="B60" s="92"/>
      <c r="C60" s="80"/>
      <c r="D60" s="32">
        <v>2026</v>
      </c>
      <c r="E60" s="52">
        <f t="shared" si="8"/>
        <v>343.20744599999995</v>
      </c>
      <c r="F60" s="52">
        <v>343.20744599999995</v>
      </c>
      <c r="G60" s="52">
        <v>0</v>
      </c>
      <c r="H60" s="52">
        <v>0</v>
      </c>
      <c r="I60" s="63">
        <v>0</v>
      </c>
      <c r="J60" s="82" t="str">
        <f t="shared" si="9"/>
        <v>не более 6,4</v>
      </c>
      <c r="K60" s="82"/>
      <c r="L60" s="82"/>
      <c r="M60" s="102">
        <f>M59</f>
        <v>40.9</v>
      </c>
      <c r="N60" s="103"/>
      <c r="O60" s="101" t="str">
        <f t="shared" si="10"/>
        <v>28543 (29066)</v>
      </c>
      <c r="P60" s="101"/>
      <c r="Q60" s="101"/>
    </row>
    <row r="61" spans="1:17" ht="21.75" customHeight="1">
      <c r="A61" s="78" t="s">
        <v>144</v>
      </c>
      <c r="B61" s="92" t="s">
        <v>203</v>
      </c>
      <c r="C61" s="80" t="s">
        <v>186</v>
      </c>
      <c r="D61" s="35" t="s">
        <v>19</v>
      </c>
      <c r="E61" s="52">
        <f>SUM(E62:E68)</f>
        <v>2752.118356</v>
      </c>
      <c r="F61" s="52">
        <f>SUM(F62:F68)</f>
        <v>2608.5557559999997</v>
      </c>
      <c r="G61" s="52">
        <f>SUM(G62:G68)</f>
        <v>143.5626</v>
      </c>
      <c r="H61" s="52">
        <f>SUM(H62:H68)</f>
        <v>0</v>
      </c>
      <c r="I61" s="63">
        <f>SUM(I62:I68)</f>
        <v>0</v>
      </c>
      <c r="J61" s="107" t="s">
        <v>126</v>
      </c>
      <c r="K61" s="107"/>
      <c r="L61" s="107"/>
      <c r="M61" s="107"/>
      <c r="N61" s="107"/>
      <c r="O61" s="107"/>
      <c r="P61" s="107"/>
      <c r="Q61" s="107"/>
    </row>
    <row r="62" spans="1:17" ht="15">
      <c r="A62" s="78"/>
      <c r="B62" s="92"/>
      <c r="C62" s="80"/>
      <c r="D62" s="32">
        <v>2020</v>
      </c>
      <c r="E62" s="52">
        <f aca="true" t="shared" si="11" ref="E62:E68">F62+G62+H62+I62</f>
        <v>381.2357</v>
      </c>
      <c r="F62" s="52">
        <f>332.3616+3.8333+0.0666</f>
        <v>336.2615</v>
      </c>
      <c r="G62" s="52">
        <f>46.2546-1.2804</f>
        <v>44.9742</v>
      </c>
      <c r="H62" s="52">
        <v>0</v>
      </c>
      <c r="I62" s="63">
        <v>0</v>
      </c>
      <c r="J62" s="107"/>
      <c r="K62" s="107"/>
      <c r="L62" s="107"/>
      <c r="M62" s="107"/>
      <c r="N62" s="107"/>
      <c r="O62" s="107"/>
      <c r="P62" s="107"/>
      <c r="Q62" s="107"/>
    </row>
    <row r="63" spans="1:17" ht="15">
      <c r="A63" s="78"/>
      <c r="B63" s="92"/>
      <c r="C63" s="80"/>
      <c r="D63" s="32">
        <v>2021</v>
      </c>
      <c r="E63" s="52">
        <f t="shared" si="11"/>
        <v>391.7842</v>
      </c>
      <c r="F63" s="52">
        <f>343.77-0.3956</f>
        <v>343.3744</v>
      </c>
      <c r="G63" s="52">
        <v>48.4098</v>
      </c>
      <c r="H63" s="52">
        <f>H64</f>
        <v>0</v>
      </c>
      <c r="I63" s="63">
        <f>I64</f>
        <v>0</v>
      </c>
      <c r="J63" s="107"/>
      <c r="K63" s="107"/>
      <c r="L63" s="107"/>
      <c r="M63" s="107"/>
      <c r="N63" s="107"/>
      <c r="O63" s="107"/>
      <c r="P63" s="107"/>
      <c r="Q63" s="107"/>
    </row>
    <row r="64" spans="1:17" s="30" customFormat="1" ht="15">
      <c r="A64" s="78"/>
      <c r="B64" s="92"/>
      <c r="C64" s="80"/>
      <c r="D64" s="32">
        <v>2022</v>
      </c>
      <c r="E64" s="52">
        <f t="shared" si="11"/>
        <v>410.6564</v>
      </c>
      <c r="F64" s="52">
        <f>360.8735-0.3957</f>
        <v>360.4778</v>
      </c>
      <c r="G64" s="52">
        <v>50.1786</v>
      </c>
      <c r="H64" s="52">
        <v>0</v>
      </c>
      <c r="I64" s="63">
        <v>0</v>
      </c>
      <c r="J64" s="107"/>
      <c r="K64" s="107"/>
      <c r="L64" s="107"/>
      <c r="M64" s="107"/>
      <c r="N64" s="107"/>
      <c r="O64" s="107"/>
      <c r="P64" s="107"/>
      <c r="Q64" s="107"/>
    </row>
    <row r="65" spans="1:17" s="30" customFormat="1" ht="15">
      <c r="A65" s="78"/>
      <c r="B65" s="92"/>
      <c r="C65" s="80"/>
      <c r="D65" s="32">
        <v>2023</v>
      </c>
      <c r="E65" s="52">
        <f t="shared" si="11"/>
        <v>392.110514</v>
      </c>
      <c r="F65" s="52">
        <v>392.110514</v>
      </c>
      <c r="G65" s="52">
        <v>0</v>
      </c>
      <c r="H65" s="52">
        <v>0</v>
      </c>
      <c r="I65" s="63">
        <v>0</v>
      </c>
      <c r="J65" s="107"/>
      <c r="K65" s="107"/>
      <c r="L65" s="107"/>
      <c r="M65" s="107"/>
      <c r="N65" s="107"/>
      <c r="O65" s="107"/>
      <c r="P65" s="107"/>
      <c r="Q65" s="107"/>
    </row>
    <row r="66" spans="1:17" s="30" customFormat="1" ht="15">
      <c r="A66" s="78"/>
      <c r="B66" s="92"/>
      <c r="C66" s="80"/>
      <c r="D66" s="32">
        <v>2024</v>
      </c>
      <c r="E66" s="52">
        <f t="shared" si="11"/>
        <v>392.110514</v>
      </c>
      <c r="F66" s="52">
        <v>392.110514</v>
      </c>
      <c r="G66" s="52">
        <v>0</v>
      </c>
      <c r="H66" s="52">
        <v>0</v>
      </c>
      <c r="I66" s="63">
        <v>0</v>
      </c>
      <c r="J66" s="107"/>
      <c r="K66" s="107"/>
      <c r="L66" s="107"/>
      <c r="M66" s="107"/>
      <c r="N66" s="107"/>
      <c r="O66" s="107"/>
      <c r="P66" s="107"/>
      <c r="Q66" s="107"/>
    </row>
    <row r="67" spans="1:17" s="30" customFormat="1" ht="15">
      <c r="A67" s="78"/>
      <c r="B67" s="92"/>
      <c r="C67" s="80"/>
      <c r="D67" s="32">
        <v>2025</v>
      </c>
      <c r="E67" s="52">
        <f t="shared" si="11"/>
        <v>392.110514</v>
      </c>
      <c r="F67" s="52">
        <v>392.110514</v>
      </c>
      <c r="G67" s="52">
        <v>0</v>
      </c>
      <c r="H67" s="52">
        <v>0</v>
      </c>
      <c r="I67" s="63">
        <v>0</v>
      </c>
      <c r="J67" s="107"/>
      <c r="K67" s="107"/>
      <c r="L67" s="107"/>
      <c r="M67" s="107"/>
      <c r="N67" s="107"/>
      <c r="O67" s="107"/>
      <c r="P67" s="107"/>
      <c r="Q67" s="107"/>
    </row>
    <row r="68" spans="1:17" s="30" customFormat="1" ht="69.75" customHeight="1">
      <c r="A68" s="78"/>
      <c r="B68" s="92"/>
      <c r="C68" s="80"/>
      <c r="D68" s="32">
        <v>2026</v>
      </c>
      <c r="E68" s="52">
        <f t="shared" si="11"/>
        <v>392.110514</v>
      </c>
      <c r="F68" s="52">
        <v>392.110514</v>
      </c>
      <c r="G68" s="52">
        <v>0</v>
      </c>
      <c r="H68" s="52">
        <v>0</v>
      </c>
      <c r="I68" s="63">
        <v>0</v>
      </c>
      <c r="J68" s="107"/>
      <c r="K68" s="107"/>
      <c r="L68" s="107"/>
      <c r="M68" s="107"/>
      <c r="N68" s="107"/>
      <c r="O68" s="107"/>
      <c r="P68" s="107"/>
      <c r="Q68" s="107"/>
    </row>
    <row r="69" spans="1:17" ht="39" customHeight="1">
      <c r="A69" s="78" t="s">
        <v>145</v>
      </c>
      <c r="B69" s="92" t="s">
        <v>204</v>
      </c>
      <c r="C69" s="80" t="s">
        <v>196</v>
      </c>
      <c r="D69" s="35" t="s">
        <v>19</v>
      </c>
      <c r="E69" s="52">
        <f>E72+E73+E74+E75+E76+E70+E71</f>
        <v>400.247988</v>
      </c>
      <c r="F69" s="52">
        <f>F72+F73+F74+F75+F76+F70+F71</f>
        <v>25.560499999999998</v>
      </c>
      <c r="G69" s="58">
        <f>G72+G73+G74+G75+G76+G70+G71</f>
        <v>374.68748800000003</v>
      </c>
      <c r="H69" s="52">
        <f>H72+H73+H74+H75+H76+H70+H71</f>
        <v>0</v>
      </c>
      <c r="I69" s="63">
        <f>I72+I73+I74+I75+I76+I70+I71</f>
        <v>0</v>
      </c>
      <c r="J69" s="104" t="s">
        <v>234</v>
      </c>
      <c r="K69" s="104"/>
      <c r="L69" s="104"/>
      <c r="M69" s="104"/>
      <c r="N69" s="104" t="s">
        <v>235</v>
      </c>
      <c r="O69" s="104"/>
      <c r="P69" s="104"/>
      <c r="Q69" s="104"/>
    </row>
    <row r="70" spans="1:17" ht="15">
      <c r="A70" s="78"/>
      <c r="B70" s="92"/>
      <c r="C70" s="80"/>
      <c r="D70" s="32">
        <v>2020</v>
      </c>
      <c r="E70" s="52">
        <f aca="true" t="shared" si="12" ref="E70:E76">F70+G70+H70+I70</f>
        <v>16.33822799999999</v>
      </c>
      <c r="F70" s="52">
        <f>3.5115+0.07</f>
        <v>3.5814999999999997</v>
      </c>
      <c r="G70" s="58">
        <f>27.9096+38.5162-15.6704+0.0023-9.9315-28.069472</f>
        <v>12.756727999999992</v>
      </c>
      <c r="H70" s="52">
        <v>0</v>
      </c>
      <c r="I70" s="63">
        <v>0</v>
      </c>
      <c r="J70" s="82">
        <v>32</v>
      </c>
      <c r="K70" s="82"/>
      <c r="L70" s="82"/>
      <c r="M70" s="82"/>
      <c r="N70" s="82" t="s">
        <v>166</v>
      </c>
      <c r="O70" s="82"/>
      <c r="P70" s="82"/>
      <c r="Q70" s="82"/>
    </row>
    <row r="71" spans="1:17" ht="15">
      <c r="A71" s="78"/>
      <c r="B71" s="92"/>
      <c r="C71" s="80"/>
      <c r="D71" s="32">
        <v>2021</v>
      </c>
      <c r="E71" s="52">
        <f t="shared" si="12"/>
        <v>72.71509999999999</v>
      </c>
      <c r="F71" s="52">
        <f>3.5471+0.07</f>
        <v>3.6170999999999998</v>
      </c>
      <c r="G71" s="52">
        <f>29.0002+40.0978</f>
        <v>69.098</v>
      </c>
      <c r="H71" s="52">
        <v>0</v>
      </c>
      <c r="I71" s="63">
        <v>0</v>
      </c>
      <c r="J71" s="82">
        <f aca="true" t="shared" si="13" ref="J71:J76">J70</f>
        <v>32</v>
      </c>
      <c r="K71" s="82"/>
      <c r="L71" s="82"/>
      <c r="M71" s="82"/>
      <c r="N71" s="82" t="s">
        <v>166</v>
      </c>
      <c r="O71" s="82"/>
      <c r="P71" s="82"/>
      <c r="Q71" s="82"/>
    </row>
    <row r="72" spans="1:17" ht="15">
      <c r="A72" s="78"/>
      <c r="B72" s="92"/>
      <c r="C72" s="80"/>
      <c r="D72" s="32">
        <v>2022</v>
      </c>
      <c r="E72" s="52">
        <f t="shared" si="12"/>
        <v>75.5381</v>
      </c>
      <c r="F72" s="52">
        <f>3.6555+0.07</f>
        <v>3.7255</v>
      </c>
      <c r="G72" s="52">
        <f>30.1318+41.6808</f>
        <v>71.8126</v>
      </c>
      <c r="H72" s="52">
        <v>0</v>
      </c>
      <c r="I72" s="63">
        <v>0</v>
      </c>
      <c r="J72" s="82">
        <f t="shared" si="13"/>
        <v>32</v>
      </c>
      <c r="K72" s="82"/>
      <c r="L72" s="82"/>
      <c r="M72" s="82"/>
      <c r="N72" s="82" t="s">
        <v>166</v>
      </c>
      <c r="O72" s="82"/>
      <c r="P72" s="82"/>
      <c r="Q72" s="82"/>
    </row>
    <row r="73" spans="1:17" ht="15">
      <c r="A73" s="78"/>
      <c r="B73" s="92"/>
      <c r="C73" s="80"/>
      <c r="D73" s="32">
        <v>2023</v>
      </c>
      <c r="E73" s="52">
        <f>F73+G73+H73+I73</f>
        <v>58.91414</v>
      </c>
      <c r="F73" s="52">
        <v>3.6591</v>
      </c>
      <c r="G73" s="52">
        <v>55.25504</v>
      </c>
      <c r="H73" s="52">
        <v>0</v>
      </c>
      <c r="I73" s="63">
        <v>0</v>
      </c>
      <c r="J73" s="82">
        <f t="shared" si="13"/>
        <v>32</v>
      </c>
      <c r="K73" s="82"/>
      <c r="L73" s="82"/>
      <c r="M73" s="82"/>
      <c r="N73" s="82" t="s">
        <v>166</v>
      </c>
      <c r="O73" s="82"/>
      <c r="P73" s="82"/>
      <c r="Q73" s="82"/>
    </row>
    <row r="74" spans="1:17" ht="15">
      <c r="A74" s="78"/>
      <c r="B74" s="92"/>
      <c r="C74" s="80"/>
      <c r="D74" s="32">
        <v>2024</v>
      </c>
      <c r="E74" s="52">
        <f t="shared" si="12"/>
        <v>58.91414</v>
      </c>
      <c r="F74" s="52">
        <v>3.6591</v>
      </c>
      <c r="G74" s="52">
        <v>55.25504</v>
      </c>
      <c r="H74" s="52">
        <v>0</v>
      </c>
      <c r="I74" s="63">
        <v>0</v>
      </c>
      <c r="J74" s="82">
        <f t="shared" si="13"/>
        <v>32</v>
      </c>
      <c r="K74" s="82"/>
      <c r="L74" s="82"/>
      <c r="M74" s="82"/>
      <c r="N74" s="82" t="s">
        <v>166</v>
      </c>
      <c r="O74" s="82"/>
      <c r="P74" s="82"/>
      <c r="Q74" s="82"/>
    </row>
    <row r="75" spans="1:17" ht="15">
      <c r="A75" s="78"/>
      <c r="B75" s="92"/>
      <c r="C75" s="80"/>
      <c r="D75" s="32">
        <v>2025</v>
      </c>
      <c r="E75" s="52">
        <f t="shared" si="12"/>
        <v>58.91414</v>
      </c>
      <c r="F75" s="52">
        <v>3.6591</v>
      </c>
      <c r="G75" s="52">
        <v>55.25504</v>
      </c>
      <c r="H75" s="52">
        <v>0</v>
      </c>
      <c r="I75" s="63">
        <v>0</v>
      </c>
      <c r="J75" s="82">
        <f t="shared" si="13"/>
        <v>32</v>
      </c>
      <c r="K75" s="82"/>
      <c r="L75" s="82"/>
      <c r="M75" s="82"/>
      <c r="N75" s="82" t="s">
        <v>166</v>
      </c>
      <c r="O75" s="82"/>
      <c r="P75" s="82"/>
      <c r="Q75" s="82"/>
    </row>
    <row r="76" spans="1:17" ht="129" customHeight="1">
      <c r="A76" s="78"/>
      <c r="B76" s="92"/>
      <c r="C76" s="80"/>
      <c r="D76" s="32">
        <v>2026</v>
      </c>
      <c r="E76" s="52">
        <f t="shared" si="12"/>
        <v>58.91414</v>
      </c>
      <c r="F76" s="52">
        <v>3.6591</v>
      </c>
      <c r="G76" s="52">
        <v>55.25504</v>
      </c>
      <c r="H76" s="52">
        <v>0</v>
      </c>
      <c r="I76" s="63">
        <v>0</v>
      </c>
      <c r="J76" s="82">
        <f t="shared" si="13"/>
        <v>32</v>
      </c>
      <c r="K76" s="82"/>
      <c r="L76" s="82"/>
      <c r="M76" s="82"/>
      <c r="N76" s="82" t="s">
        <v>166</v>
      </c>
      <c r="O76" s="82"/>
      <c r="P76" s="82"/>
      <c r="Q76" s="82"/>
    </row>
    <row r="77" spans="1:17" s="30" customFormat="1" ht="15" customHeight="1">
      <c r="A77" s="78" t="s">
        <v>146</v>
      </c>
      <c r="B77" s="92" t="s">
        <v>205</v>
      </c>
      <c r="C77" s="80" t="s">
        <v>186</v>
      </c>
      <c r="D77" s="35" t="s">
        <v>19</v>
      </c>
      <c r="E77" s="58">
        <f>SUM(E78:E84)</f>
        <v>623.20797012</v>
      </c>
      <c r="F77" s="58">
        <f>SUM(F78:F84)</f>
        <v>623.20797012</v>
      </c>
      <c r="G77" s="52">
        <f>SUM(G78:G84)</f>
        <v>0</v>
      </c>
      <c r="H77" s="52">
        <f>SUM(H78:H84)</f>
        <v>0</v>
      </c>
      <c r="I77" s="63">
        <f>SUM(I78:I84)</f>
        <v>0</v>
      </c>
      <c r="J77" s="89" t="s">
        <v>126</v>
      </c>
      <c r="K77" s="89"/>
      <c r="L77" s="89"/>
      <c r="M77" s="89"/>
      <c r="N77" s="89"/>
      <c r="O77" s="89"/>
      <c r="P77" s="89"/>
      <c r="Q77" s="89"/>
    </row>
    <row r="78" spans="1:17" s="30" customFormat="1" ht="15" customHeight="1">
      <c r="A78" s="78"/>
      <c r="B78" s="92"/>
      <c r="C78" s="80"/>
      <c r="D78" s="32">
        <v>2020</v>
      </c>
      <c r="E78" s="58">
        <f aca="true" t="shared" si="14" ref="E78:E84">F78+G78+H78+I78</f>
        <v>72.59477011999999</v>
      </c>
      <c r="F78" s="58">
        <f>90.9164-3.3806-1.1771-1.57752988-5.0501-0.4491-0.0672-6.62</f>
        <v>72.59477011999999</v>
      </c>
      <c r="G78" s="52">
        <v>0</v>
      </c>
      <c r="H78" s="52">
        <v>0</v>
      </c>
      <c r="I78" s="63">
        <v>0</v>
      </c>
      <c r="J78" s="89"/>
      <c r="K78" s="89"/>
      <c r="L78" s="89"/>
      <c r="M78" s="89"/>
      <c r="N78" s="89"/>
      <c r="O78" s="89"/>
      <c r="P78" s="89"/>
      <c r="Q78" s="89"/>
    </row>
    <row r="79" spans="1:17" s="30" customFormat="1" ht="15" customHeight="1">
      <c r="A79" s="78"/>
      <c r="B79" s="92"/>
      <c r="C79" s="80"/>
      <c r="D79" s="32">
        <v>2021</v>
      </c>
      <c r="E79" s="52">
        <f t="shared" si="14"/>
        <v>90.9164</v>
      </c>
      <c r="F79" s="52">
        <v>90.9164</v>
      </c>
      <c r="G79" s="52">
        <v>0</v>
      </c>
      <c r="H79" s="52">
        <v>0</v>
      </c>
      <c r="I79" s="63">
        <v>0</v>
      </c>
      <c r="J79" s="89"/>
      <c r="K79" s="89"/>
      <c r="L79" s="89"/>
      <c r="M79" s="89"/>
      <c r="N79" s="89"/>
      <c r="O79" s="89"/>
      <c r="P79" s="89"/>
      <c r="Q79" s="89"/>
    </row>
    <row r="80" spans="1:17" s="30" customFormat="1" ht="15">
      <c r="A80" s="78"/>
      <c r="B80" s="92"/>
      <c r="C80" s="80"/>
      <c r="D80" s="32">
        <v>2022</v>
      </c>
      <c r="E80" s="52">
        <f t="shared" si="14"/>
        <v>90.9164</v>
      </c>
      <c r="F80" s="52">
        <v>90.9164</v>
      </c>
      <c r="G80" s="52">
        <v>0</v>
      </c>
      <c r="H80" s="52">
        <v>0</v>
      </c>
      <c r="I80" s="63">
        <v>0</v>
      </c>
      <c r="J80" s="89"/>
      <c r="K80" s="89"/>
      <c r="L80" s="89"/>
      <c r="M80" s="89"/>
      <c r="N80" s="89"/>
      <c r="O80" s="89"/>
      <c r="P80" s="89"/>
      <c r="Q80" s="89"/>
    </row>
    <row r="81" spans="1:17" s="30" customFormat="1" ht="15">
      <c r="A81" s="78"/>
      <c r="B81" s="92"/>
      <c r="C81" s="80"/>
      <c r="D81" s="32">
        <v>2023</v>
      </c>
      <c r="E81" s="52">
        <f t="shared" si="14"/>
        <v>92.1951</v>
      </c>
      <c r="F81" s="52">
        <v>92.1951</v>
      </c>
      <c r="G81" s="52">
        <v>0</v>
      </c>
      <c r="H81" s="52">
        <v>0</v>
      </c>
      <c r="I81" s="63">
        <v>0</v>
      </c>
      <c r="J81" s="89"/>
      <c r="K81" s="89"/>
      <c r="L81" s="89"/>
      <c r="M81" s="89"/>
      <c r="N81" s="89"/>
      <c r="O81" s="89"/>
      <c r="P81" s="89"/>
      <c r="Q81" s="89"/>
    </row>
    <row r="82" spans="1:17" s="30" customFormat="1" ht="15">
      <c r="A82" s="78"/>
      <c r="B82" s="92"/>
      <c r="C82" s="80"/>
      <c r="D82" s="32">
        <v>2024</v>
      </c>
      <c r="E82" s="52">
        <f t="shared" si="14"/>
        <v>92.1951</v>
      </c>
      <c r="F82" s="52">
        <v>92.1951</v>
      </c>
      <c r="G82" s="52">
        <v>0</v>
      </c>
      <c r="H82" s="52">
        <v>0</v>
      </c>
      <c r="I82" s="63">
        <v>0</v>
      </c>
      <c r="J82" s="89"/>
      <c r="K82" s="89"/>
      <c r="L82" s="89"/>
      <c r="M82" s="89"/>
      <c r="N82" s="89"/>
      <c r="O82" s="89"/>
      <c r="P82" s="89"/>
      <c r="Q82" s="89"/>
    </row>
    <row r="83" spans="1:17" s="30" customFormat="1" ht="15">
      <c r="A83" s="78"/>
      <c r="B83" s="92"/>
      <c r="C83" s="80"/>
      <c r="D83" s="32">
        <v>2025</v>
      </c>
      <c r="E83" s="52">
        <f t="shared" si="14"/>
        <v>92.1951</v>
      </c>
      <c r="F83" s="52">
        <v>92.1951</v>
      </c>
      <c r="G83" s="52">
        <v>0</v>
      </c>
      <c r="H83" s="52">
        <v>0</v>
      </c>
      <c r="I83" s="63">
        <v>0</v>
      </c>
      <c r="J83" s="89"/>
      <c r="K83" s="89"/>
      <c r="L83" s="89"/>
      <c r="M83" s="89"/>
      <c r="N83" s="89"/>
      <c r="O83" s="89"/>
      <c r="P83" s="89"/>
      <c r="Q83" s="89"/>
    </row>
    <row r="84" spans="1:17" s="30" customFormat="1" ht="81" customHeight="1">
      <c r="A84" s="78"/>
      <c r="B84" s="92"/>
      <c r="C84" s="80"/>
      <c r="D84" s="32">
        <v>2026</v>
      </c>
      <c r="E84" s="52">
        <f t="shared" si="14"/>
        <v>92.1951</v>
      </c>
      <c r="F84" s="52">
        <v>92.1951</v>
      </c>
      <c r="G84" s="52">
        <v>0</v>
      </c>
      <c r="H84" s="52">
        <v>0</v>
      </c>
      <c r="I84" s="63">
        <v>0</v>
      </c>
      <c r="J84" s="89"/>
      <c r="K84" s="89"/>
      <c r="L84" s="89"/>
      <c r="M84" s="89"/>
      <c r="N84" s="89"/>
      <c r="O84" s="89"/>
      <c r="P84" s="89"/>
      <c r="Q84" s="89"/>
    </row>
    <row r="85" spans="1:17" ht="26.25" customHeight="1">
      <c r="A85" s="78" t="s">
        <v>147</v>
      </c>
      <c r="B85" s="92" t="s">
        <v>206</v>
      </c>
      <c r="C85" s="80" t="s">
        <v>186</v>
      </c>
      <c r="D85" s="35" t="s">
        <v>19</v>
      </c>
      <c r="E85" s="58">
        <f>SUM(E86:E92)</f>
        <v>448.39592890999995</v>
      </c>
      <c r="F85" s="58">
        <f>SUM(F86:F92)</f>
        <v>448.39592890999995</v>
      </c>
      <c r="G85" s="52">
        <f>SUM(G86:G92)</f>
        <v>0</v>
      </c>
      <c r="H85" s="52">
        <f>SUM(H86:H92)</f>
        <v>0</v>
      </c>
      <c r="I85" s="63">
        <f>SUM(I86:I92)</f>
        <v>0</v>
      </c>
      <c r="J85" s="104" t="s">
        <v>175</v>
      </c>
      <c r="K85" s="104"/>
      <c r="L85" s="104"/>
      <c r="M85" s="104"/>
      <c r="N85" s="104"/>
      <c r="O85" s="104"/>
      <c r="P85" s="104"/>
      <c r="Q85" s="104"/>
    </row>
    <row r="86" spans="1:17" ht="15">
      <c r="A86" s="78"/>
      <c r="B86" s="92"/>
      <c r="C86" s="80"/>
      <c r="D86" s="32">
        <v>2020</v>
      </c>
      <c r="E86" s="58">
        <f aca="true" t="shared" si="15" ref="E86:E92">F86+G86+H86+I86</f>
        <v>53.932528909999995</v>
      </c>
      <c r="F86" s="58">
        <f>65.7439-11.81137109</f>
        <v>53.932528909999995</v>
      </c>
      <c r="G86" s="52">
        <f>G88</f>
        <v>0</v>
      </c>
      <c r="H86" s="52">
        <f>H88</f>
        <v>0</v>
      </c>
      <c r="I86" s="63">
        <f>I88</f>
        <v>0</v>
      </c>
      <c r="J86" s="104">
        <v>83.8</v>
      </c>
      <c r="K86" s="104"/>
      <c r="L86" s="104"/>
      <c r="M86" s="104"/>
      <c r="N86" s="104"/>
      <c r="O86" s="104"/>
      <c r="P86" s="104"/>
      <c r="Q86" s="104"/>
    </row>
    <row r="87" spans="1:17" ht="15">
      <c r="A87" s="78"/>
      <c r="B87" s="92"/>
      <c r="C87" s="80"/>
      <c r="D87" s="32">
        <v>2021</v>
      </c>
      <c r="E87" s="52">
        <f t="shared" si="15"/>
        <v>65.7439</v>
      </c>
      <c r="F87" s="52">
        <v>65.7439</v>
      </c>
      <c r="G87" s="52">
        <f>G86</f>
        <v>0</v>
      </c>
      <c r="H87" s="52">
        <f>H86</f>
        <v>0</v>
      </c>
      <c r="I87" s="63">
        <f>I86</f>
        <v>0</v>
      </c>
      <c r="J87" s="104">
        <v>83.8</v>
      </c>
      <c r="K87" s="104"/>
      <c r="L87" s="104"/>
      <c r="M87" s="104"/>
      <c r="N87" s="104"/>
      <c r="O87" s="104"/>
      <c r="P87" s="104"/>
      <c r="Q87" s="104"/>
    </row>
    <row r="88" spans="1:17" ht="15">
      <c r="A88" s="78"/>
      <c r="B88" s="92"/>
      <c r="C88" s="80"/>
      <c r="D88" s="32">
        <v>2022</v>
      </c>
      <c r="E88" s="52">
        <f t="shared" si="15"/>
        <v>65.7439</v>
      </c>
      <c r="F88" s="52">
        <v>65.7439</v>
      </c>
      <c r="G88" s="52">
        <v>0</v>
      </c>
      <c r="H88" s="52">
        <v>0</v>
      </c>
      <c r="I88" s="63">
        <v>0</v>
      </c>
      <c r="J88" s="82">
        <v>83.8</v>
      </c>
      <c r="K88" s="82"/>
      <c r="L88" s="82"/>
      <c r="M88" s="82"/>
      <c r="N88" s="82"/>
      <c r="O88" s="82"/>
      <c r="P88" s="82"/>
      <c r="Q88" s="82"/>
    </row>
    <row r="89" spans="1:17" ht="15">
      <c r="A89" s="78"/>
      <c r="B89" s="92"/>
      <c r="C89" s="80"/>
      <c r="D89" s="32">
        <v>2023</v>
      </c>
      <c r="E89" s="52">
        <f t="shared" si="15"/>
        <v>65.7439</v>
      </c>
      <c r="F89" s="52">
        <v>65.7439</v>
      </c>
      <c r="G89" s="52">
        <v>0</v>
      </c>
      <c r="H89" s="52">
        <v>0</v>
      </c>
      <c r="I89" s="63">
        <v>0</v>
      </c>
      <c r="J89" s="82">
        <f>J88</f>
        <v>83.8</v>
      </c>
      <c r="K89" s="82"/>
      <c r="L89" s="82"/>
      <c r="M89" s="82"/>
      <c r="N89" s="82"/>
      <c r="O89" s="82"/>
      <c r="P89" s="82"/>
      <c r="Q89" s="82"/>
    </row>
    <row r="90" spans="1:17" ht="15">
      <c r="A90" s="78"/>
      <c r="B90" s="92"/>
      <c r="C90" s="80"/>
      <c r="D90" s="32">
        <v>2024</v>
      </c>
      <c r="E90" s="52">
        <f t="shared" si="15"/>
        <v>65.7439</v>
      </c>
      <c r="F90" s="52">
        <v>65.7439</v>
      </c>
      <c r="G90" s="52">
        <v>0</v>
      </c>
      <c r="H90" s="52">
        <v>0</v>
      </c>
      <c r="I90" s="63">
        <v>0</v>
      </c>
      <c r="J90" s="82">
        <f>J89</f>
        <v>83.8</v>
      </c>
      <c r="K90" s="82"/>
      <c r="L90" s="82"/>
      <c r="M90" s="82"/>
      <c r="N90" s="82"/>
      <c r="O90" s="82"/>
      <c r="P90" s="82"/>
      <c r="Q90" s="82"/>
    </row>
    <row r="91" spans="1:17" ht="15">
      <c r="A91" s="78"/>
      <c r="B91" s="92"/>
      <c r="C91" s="80"/>
      <c r="D91" s="32">
        <v>2025</v>
      </c>
      <c r="E91" s="52">
        <f t="shared" si="15"/>
        <v>65.7439</v>
      </c>
      <c r="F91" s="52">
        <v>65.7439</v>
      </c>
      <c r="G91" s="52">
        <v>0</v>
      </c>
      <c r="H91" s="52">
        <v>0</v>
      </c>
      <c r="I91" s="63">
        <v>0</v>
      </c>
      <c r="J91" s="82">
        <f>J90</f>
        <v>83.8</v>
      </c>
      <c r="K91" s="82"/>
      <c r="L91" s="82"/>
      <c r="M91" s="82"/>
      <c r="N91" s="82"/>
      <c r="O91" s="82"/>
      <c r="P91" s="82"/>
      <c r="Q91" s="82"/>
    </row>
    <row r="92" spans="1:17" ht="64.5" customHeight="1">
      <c r="A92" s="78"/>
      <c r="B92" s="92"/>
      <c r="C92" s="80"/>
      <c r="D92" s="32">
        <v>2026</v>
      </c>
      <c r="E92" s="52">
        <f t="shared" si="15"/>
        <v>65.7439</v>
      </c>
      <c r="F92" s="52">
        <v>65.7439</v>
      </c>
      <c r="G92" s="52">
        <v>0</v>
      </c>
      <c r="H92" s="52">
        <v>0</v>
      </c>
      <c r="I92" s="63">
        <v>0</v>
      </c>
      <c r="J92" s="82">
        <f>J91</f>
        <v>83.8</v>
      </c>
      <c r="K92" s="82"/>
      <c r="L92" s="82"/>
      <c r="M92" s="82"/>
      <c r="N92" s="82"/>
      <c r="O92" s="82"/>
      <c r="P92" s="82"/>
      <c r="Q92" s="82"/>
    </row>
    <row r="93" spans="1:17" ht="38.25" customHeight="1">
      <c r="A93" s="78" t="s">
        <v>148</v>
      </c>
      <c r="B93" s="92" t="s">
        <v>207</v>
      </c>
      <c r="C93" s="80" t="s">
        <v>186</v>
      </c>
      <c r="D93" s="35" t="s">
        <v>19</v>
      </c>
      <c r="E93" s="58">
        <f>E96+E97+E98+E99+E100+E94+E95</f>
        <v>161.25791200000003</v>
      </c>
      <c r="F93" s="58">
        <f>F96+F97+F98+F99+F100+F94+F95</f>
        <v>0</v>
      </c>
      <c r="G93" s="58">
        <f>G96+G97+G98+G99+G100+G94+G95</f>
        <v>161.25791200000003</v>
      </c>
      <c r="H93" s="52">
        <f>H96+H97+H98+H99+H100+H94+H95</f>
        <v>0</v>
      </c>
      <c r="I93" s="63">
        <f>I96+I97+I98+I99+I100+I94+I95</f>
        <v>0</v>
      </c>
      <c r="J93" s="104" t="s">
        <v>234</v>
      </c>
      <c r="K93" s="104"/>
      <c r="L93" s="104"/>
      <c r="M93" s="104"/>
      <c r="N93" s="104"/>
      <c r="O93" s="104"/>
      <c r="P93" s="104"/>
      <c r="Q93" s="104"/>
    </row>
    <row r="94" spans="1:17" ht="15">
      <c r="A94" s="78"/>
      <c r="B94" s="92"/>
      <c r="C94" s="80"/>
      <c r="D94" s="32">
        <v>2020</v>
      </c>
      <c r="E94" s="58">
        <f aca="true" t="shared" si="16" ref="E94:E100">F94+G94+H94+I94</f>
        <v>7.510572</v>
      </c>
      <c r="F94" s="58">
        <v>0</v>
      </c>
      <c r="G94" s="58">
        <f>26.4561+0.01014-26.46624+7.510572</f>
        <v>7.510572</v>
      </c>
      <c r="H94" s="52">
        <v>0</v>
      </c>
      <c r="I94" s="63">
        <v>0</v>
      </c>
      <c r="J94" s="104">
        <f>J70</f>
        <v>32</v>
      </c>
      <c r="K94" s="104"/>
      <c r="L94" s="104"/>
      <c r="M94" s="104"/>
      <c r="N94" s="104"/>
      <c r="O94" s="104"/>
      <c r="P94" s="104"/>
      <c r="Q94" s="104"/>
    </row>
    <row r="95" spans="1:17" ht="15">
      <c r="A95" s="78"/>
      <c r="B95" s="92"/>
      <c r="C95" s="80"/>
      <c r="D95" s="32">
        <v>2021</v>
      </c>
      <c r="E95" s="52">
        <f t="shared" si="16"/>
        <v>27.4935</v>
      </c>
      <c r="F95" s="52">
        <v>0</v>
      </c>
      <c r="G95" s="52">
        <v>27.4935</v>
      </c>
      <c r="H95" s="52">
        <v>0</v>
      </c>
      <c r="I95" s="63">
        <v>0</v>
      </c>
      <c r="J95" s="104">
        <f aca="true" t="shared" si="17" ref="J95:J100">J71</f>
        <v>32</v>
      </c>
      <c r="K95" s="104"/>
      <c r="L95" s="104"/>
      <c r="M95" s="104"/>
      <c r="N95" s="104"/>
      <c r="O95" s="104"/>
      <c r="P95" s="104"/>
      <c r="Q95" s="104"/>
    </row>
    <row r="96" spans="1:17" ht="15">
      <c r="A96" s="78"/>
      <c r="B96" s="92"/>
      <c r="C96" s="80"/>
      <c r="D96" s="32">
        <v>2022</v>
      </c>
      <c r="E96" s="52">
        <f t="shared" si="16"/>
        <v>28.5312</v>
      </c>
      <c r="F96" s="52">
        <v>0</v>
      </c>
      <c r="G96" s="52">
        <v>28.5312</v>
      </c>
      <c r="H96" s="52">
        <v>0</v>
      </c>
      <c r="I96" s="63">
        <v>0</v>
      </c>
      <c r="J96" s="104">
        <f t="shared" si="17"/>
        <v>32</v>
      </c>
      <c r="K96" s="104"/>
      <c r="L96" s="104"/>
      <c r="M96" s="104"/>
      <c r="N96" s="104"/>
      <c r="O96" s="104"/>
      <c r="P96" s="104"/>
      <c r="Q96" s="104"/>
    </row>
    <row r="97" spans="1:17" ht="15" customHeight="1">
      <c r="A97" s="78"/>
      <c r="B97" s="92"/>
      <c r="C97" s="80"/>
      <c r="D97" s="32">
        <v>2023</v>
      </c>
      <c r="E97" s="52">
        <f t="shared" si="16"/>
        <v>24.43066</v>
      </c>
      <c r="F97" s="52">
        <v>0</v>
      </c>
      <c r="G97" s="52">
        <v>24.43066</v>
      </c>
      <c r="H97" s="52">
        <v>0</v>
      </c>
      <c r="I97" s="63">
        <v>0</v>
      </c>
      <c r="J97" s="104">
        <f t="shared" si="17"/>
        <v>32</v>
      </c>
      <c r="K97" s="104"/>
      <c r="L97" s="104"/>
      <c r="M97" s="104"/>
      <c r="N97" s="104"/>
      <c r="O97" s="104"/>
      <c r="P97" s="104"/>
      <c r="Q97" s="104"/>
    </row>
    <row r="98" spans="1:17" ht="15">
      <c r="A98" s="78"/>
      <c r="B98" s="92"/>
      <c r="C98" s="80"/>
      <c r="D98" s="32">
        <v>2024</v>
      </c>
      <c r="E98" s="52">
        <f t="shared" si="16"/>
        <v>24.43066</v>
      </c>
      <c r="F98" s="52">
        <v>0</v>
      </c>
      <c r="G98" s="52">
        <v>24.43066</v>
      </c>
      <c r="H98" s="52">
        <v>0</v>
      </c>
      <c r="I98" s="63">
        <v>0</v>
      </c>
      <c r="J98" s="104">
        <f t="shared" si="17"/>
        <v>32</v>
      </c>
      <c r="K98" s="104"/>
      <c r="L98" s="104"/>
      <c r="M98" s="104"/>
      <c r="N98" s="104"/>
      <c r="O98" s="104"/>
      <c r="P98" s="104"/>
      <c r="Q98" s="104"/>
    </row>
    <row r="99" spans="1:17" ht="15">
      <c r="A99" s="78"/>
      <c r="B99" s="92"/>
      <c r="C99" s="80"/>
      <c r="D99" s="32">
        <v>2025</v>
      </c>
      <c r="E99" s="52">
        <f t="shared" si="16"/>
        <v>24.43066</v>
      </c>
      <c r="F99" s="52">
        <v>0</v>
      </c>
      <c r="G99" s="52">
        <v>24.43066</v>
      </c>
      <c r="H99" s="52">
        <v>0</v>
      </c>
      <c r="I99" s="63">
        <v>0</v>
      </c>
      <c r="J99" s="104">
        <f t="shared" si="17"/>
        <v>32</v>
      </c>
      <c r="K99" s="104"/>
      <c r="L99" s="104"/>
      <c r="M99" s="104"/>
      <c r="N99" s="104"/>
      <c r="O99" s="104"/>
      <c r="P99" s="104"/>
      <c r="Q99" s="104"/>
    </row>
    <row r="100" spans="1:17" ht="55.5" customHeight="1">
      <c r="A100" s="78"/>
      <c r="B100" s="92"/>
      <c r="C100" s="80"/>
      <c r="D100" s="32">
        <v>2026</v>
      </c>
      <c r="E100" s="52">
        <f t="shared" si="16"/>
        <v>24.43066</v>
      </c>
      <c r="F100" s="52">
        <v>0</v>
      </c>
      <c r="G100" s="52">
        <v>24.43066</v>
      </c>
      <c r="H100" s="52">
        <v>0</v>
      </c>
      <c r="I100" s="63">
        <v>0</v>
      </c>
      <c r="J100" s="104">
        <f t="shared" si="17"/>
        <v>32</v>
      </c>
      <c r="K100" s="104"/>
      <c r="L100" s="104"/>
      <c r="M100" s="104"/>
      <c r="N100" s="104"/>
      <c r="O100" s="104"/>
      <c r="P100" s="104"/>
      <c r="Q100" s="104"/>
    </row>
    <row r="101" spans="1:17" ht="25.5" customHeight="1">
      <c r="A101" s="78" t="s">
        <v>149</v>
      </c>
      <c r="B101" s="92" t="s">
        <v>208</v>
      </c>
      <c r="C101" s="80" t="s">
        <v>186</v>
      </c>
      <c r="D101" s="35" t="s">
        <v>19</v>
      </c>
      <c r="E101" s="55">
        <f>SUM(E102:E108)</f>
        <v>129.111536</v>
      </c>
      <c r="F101" s="55">
        <f>SUM(F102:F108)</f>
        <v>127.01153599999998</v>
      </c>
      <c r="G101" s="55">
        <f>SUM(G102:G108)</f>
        <v>2.1</v>
      </c>
      <c r="H101" s="55">
        <f>SUM(H102:H108)</f>
        <v>0</v>
      </c>
      <c r="I101" s="65">
        <f>SUM(I102:I108)</f>
        <v>0</v>
      </c>
      <c r="J101" s="91" t="s">
        <v>176</v>
      </c>
      <c r="K101" s="91"/>
      <c r="L101" s="91"/>
      <c r="M101" s="91"/>
      <c r="N101" s="91"/>
      <c r="O101" s="91"/>
      <c r="P101" s="91"/>
      <c r="Q101" s="91"/>
    </row>
    <row r="102" spans="1:17" ht="15">
      <c r="A102" s="78"/>
      <c r="B102" s="92"/>
      <c r="C102" s="80"/>
      <c r="D102" s="32">
        <v>2020</v>
      </c>
      <c r="E102" s="55">
        <f aca="true" t="shared" si="18" ref="E102:E108">F102+G102+H102+I102</f>
        <v>32.997736</v>
      </c>
      <c r="F102" s="55">
        <f>21.3122+11.3867+0.298836</f>
        <v>32.997736</v>
      </c>
      <c r="G102" s="55">
        <v>0</v>
      </c>
      <c r="H102" s="55">
        <v>0</v>
      </c>
      <c r="I102" s="65">
        <v>0</v>
      </c>
      <c r="J102" s="91">
        <v>15.2</v>
      </c>
      <c r="K102" s="91"/>
      <c r="L102" s="91"/>
      <c r="M102" s="91"/>
      <c r="N102" s="91"/>
      <c r="O102" s="91"/>
      <c r="P102" s="91"/>
      <c r="Q102" s="91"/>
    </row>
    <row r="103" spans="1:17" ht="15">
      <c r="A103" s="78"/>
      <c r="B103" s="92"/>
      <c r="C103" s="80"/>
      <c r="D103" s="32">
        <v>2021</v>
      </c>
      <c r="E103" s="55">
        <f t="shared" si="18"/>
        <v>0</v>
      </c>
      <c r="F103" s="55">
        <v>0</v>
      </c>
      <c r="G103" s="55">
        <v>0</v>
      </c>
      <c r="H103" s="55">
        <v>0</v>
      </c>
      <c r="I103" s="65">
        <v>0</v>
      </c>
      <c r="J103" s="91">
        <v>15.2</v>
      </c>
      <c r="K103" s="91"/>
      <c r="L103" s="91"/>
      <c r="M103" s="91"/>
      <c r="N103" s="91"/>
      <c r="O103" s="91"/>
      <c r="P103" s="91"/>
      <c r="Q103" s="91"/>
    </row>
    <row r="104" spans="1:17" ht="15.75" customHeight="1">
      <c r="A104" s="78"/>
      <c r="B104" s="92"/>
      <c r="C104" s="80"/>
      <c r="D104" s="32">
        <v>2022</v>
      </c>
      <c r="E104" s="55">
        <f t="shared" si="18"/>
        <v>2.625</v>
      </c>
      <c r="F104" s="55">
        <v>0.525</v>
      </c>
      <c r="G104" s="55">
        <v>2.1</v>
      </c>
      <c r="H104" s="55">
        <v>0</v>
      </c>
      <c r="I104" s="65">
        <v>0</v>
      </c>
      <c r="J104" s="82">
        <v>15.2</v>
      </c>
      <c r="K104" s="82"/>
      <c r="L104" s="82"/>
      <c r="M104" s="82"/>
      <c r="N104" s="82"/>
      <c r="O104" s="82"/>
      <c r="P104" s="82"/>
      <c r="Q104" s="82"/>
    </row>
    <row r="105" spans="1:17" ht="15.75" customHeight="1">
      <c r="A105" s="78"/>
      <c r="B105" s="92"/>
      <c r="C105" s="80"/>
      <c r="D105" s="32">
        <v>2023</v>
      </c>
      <c r="E105" s="55">
        <f t="shared" si="18"/>
        <v>23.3722</v>
      </c>
      <c r="F105" s="55">
        <v>23.3722</v>
      </c>
      <c r="G105" s="55">
        <v>0</v>
      </c>
      <c r="H105" s="55">
        <v>0</v>
      </c>
      <c r="I105" s="65">
        <v>0</v>
      </c>
      <c r="J105" s="82">
        <v>15.2</v>
      </c>
      <c r="K105" s="82"/>
      <c r="L105" s="82"/>
      <c r="M105" s="82"/>
      <c r="N105" s="82"/>
      <c r="O105" s="82"/>
      <c r="P105" s="82"/>
      <c r="Q105" s="82"/>
    </row>
    <row r="106" spans="1:17" ht="15.75" customHeight="1">
      <c r="A106" s="78"/>
      <c r="B106" s="92"/>
      <c r="C106" s="80"/>
      <c r="D106" s="32">
        <v>2024</v>
      </c>
      <c r="E106" s="55">
        <f t="shared" si="18"/>
        <v>23.3722</v>
      </c>
      <c r="F106" s="55">
        <v>23.3722</v>
      </c>
      <c r="G106" s="55">
        <v>0</v>
      </c>
      <c r="H106" s="55">
        <v>0</v>
      </c>
      <c r="I106" s="65">
        <v>0</v>
      </c>
      <c r="J106" s="82">
        <v>15.2</v>
      </c>
      <c r="K106" s="82"/>
      <c r="L106" s="82"/>
      <c r="M106" s="82"/>
      <c r="N106" s="82"/>
      <c r="O106" s="82"/>
      <c r="P106" s="82"/>
      <c r="Q106" s="82"/>
    </row>
    <row r="107" spans="1:17" ht="15.75" customHeight="1">
      <c r="A107" s="78"/>
      <c r="B107" s="92"/>
      <c r="C107" s="80"/>
      <c r="D107" s="32">
        <v>2025</v>
      </c>
      <c r="E107" s="55">
        <f t="shared" si="18"/>
        <v>23.3722</v>
      </c>
      <c r="F107" s="55">
        <v>23.3722</v>
      </c>
      <c r="G107" s="55">
        <v>0</v>
      </c>
      <c r="H107" s="55">
        <v>0</v>
      </c>
      <c r="I107" s="65">
        <v>0</v>
      </c>
      <c r="J107" s="82">
        <v>15.2</v>
      </c>
      <c r="K107" s="82"/>
      <c r="L107" s="82"/>
      <c r="M107" s="82"/>
      <c r="N107" s="82"/>
      <c r="O107" s="82"/>
      <c r="P107" s="82"/>
      <c r="Q107" s="82"/>
    </row>
    <row r="108" spans="1:17" ht="62.25" customHeight="1">
      <c r="A108" s="78"/>
      <c r="B108" s="92"/>
      <c r="C108" s="80"/>
      <c r="D108" s="32">
        <v>2026</v>
      </c>
      <c r="E108" s="55">
        <f t="shared" si="18"/>
        <v>23.3722</v>
      </c>
      <c r="F108" s="55">
        <v>23.3722</v>
      </c>
      <c r="G108" s="55">
        <v>0</v>
      </c>
      <c r="H108" s="55">
        <v>0</v>
      </c>
      <c r="I108" s="65">
        <v>0</v>
      </c>
      <c r="J108" s="82">
        <v>15.2</v>
      </c>
      <c r="K108" s="82"/>
      <c r="L108" s="82"/>
      <c r="M108" s="82"/>
      <c r="N108" s="82"/>
      <c r="O108" s="82"/>
      <c r="P108" s="82"/>
      <c r="Q108" s="82"/>
    </row>
    <row r="109" spans="1:17" ht="86.25" customHeight="1">
      <c r="A109" s="78" t="s">
        <v>150</v>
      </c>
      <c r="B109" s="92" t="s">
        <v>209</v>
      </c>
      <c r="C109" s="80" t="s">
        <v>186</v>
      </c>
      <c r="D109" s="35" t="s">
        <v>19</v>
      </c>
      <c r="E109" s="55">
        <f>E112+E113+E114+E115+E116+E110+E111</f>
        <v>427.5482</v>
      </c>
      <c r="F109" s="55">
        <f>F112+F113+F114+F115+F116+F110+F111</f>
        <v>412.53740000000005</v>
      </c>
      <c r="G109" s="55">
        <f>G112+G113+G114+G115+G116+G110+G111</f>
        <v>15.0108</v>
      </c>
      <c r="H109" s="55">
        <f>H112+H113+H114+H115+H116+H110+H111</f>
        <v>0</v>
      </c>
      <c r="I109" s="65">
        <f>I112+I113+I114+I115+I116+I110+I111</f>
        <v>0</v>
      </c>
      <c r="J109" s="100" t="s">
        <v>173</v>
      </c>
      <c r="K109" s="100"/>
      <c r="L109" s="87" t="s">
        <v>177</v>
      </c>
      <c r="M109" s="87"/>
      <c r="N109" s="87"/>
      <c r="O109" s="87" t="s">
        <v>178</v>
      </c>
      <c r="P109" s="87"/>
      <c r="Q109" s="87"/>
    </row>
    <row r="110" spans="1:17" ht="15">
      <c r="A110" s="78"/>
      <c r="B110" s="92"/>
      <c r="C110" s="80"/>
      <c r="D110" s="32">
        <v>2020</v>
      </c>
      <c r="E110" s="56">
        <f aca="true" t="shared" si="19" ref="E110:E116">F110+G110+H110+I110</f>
        <v>139.8594</v>
      </c>
      <c r="F110" s="56">
        <f>41.4306+74.7996+1.0009+7.1527+5.6475+2.6876-0.5373+1.1771+1.2168-2.1189</f>
        <v>132.4566</v>
      </c>
      <c r="G110" s="56">
        <f>9.552-2.1492</f>
        <v>7.402799999999999</v>
      </c>
      <c r="H110" s="55">
        <v>0</v>
      </c>
      <c r="I110" s="65">
        <v>0</v>
      </c>
      <c r="J110" s="99" t="str">
        <f>J54</f>
        <v>не более 6,4</v>
      </c>
      <c r="K110" s="99"/>
      <c r="L110" s="87">
        <v>66.7</v>
      </c>
      <c r="M110" s="87"/>
      <c r="N110" s="87"/>
      <c r="O110" s="87">
        <v>33.3</v>
      </c>
      <c r="P110" s="87"/>
      <c r="Q110" s="87"/>
    </row>
    <row r="111" spans="1:17" ht="15">
      <c r="A111" s="78"/>
      <c r="B111" s="92"/>
      <c r="C111" s="80"/>
      <c r="D111" s="32">
        <v>2021</v>
      </c>
      <c r="E111" s="56">
        <f t="shared" si="19"/>
        <v>0.5</v>
      </c>
      <c r="F111" s="56">
        <f>1.32875+0.5-1.32875</f>
        <v>0.5</v>
      </c>
      <c r="G111" s="56">
        <f>5.315-5.315</f>
        <v>0</v>
      </c>
      <c r="H111" s="55">
        <v>0</v>
      </c>
      <c r="I111" s="65">
        <v>0</v>
      </c>
      <c r="J111" s="99" t="str">
        <f aca="true" t="shared" si="20" ref="J111:J116">J110</f>
        <v>не более 6,4</v>
      </c>
      <c r="K111" s="99"/>
      <c r="L111" s="87">
        <v>66.7</v>
      </c>
      <c r="M111" s="87"/>
      <c r="N111" s="87"/>
      <c r="O111" s="87">
        <v>33.3</v>
      </c>
      <c r="P111" s="87"/>
      <c r="Q111" s="87"/>
    </row>
    <row r="112" spans="1:17" ht="15">
      <c r="A112" s="78"/>
      <c r="B112" s="92"/>
      <c r="C112" s="80"/>
      <c r="D112" s="32">
        <v>2022</v>
      </c>
      <c r="E112" s="56">
        <f t="shared" si="19"/>
        <v>9.51</v>
      </c>
      <c r="F112" s="56">
        <v>1.902</v>
      </c>
      <c r="G112" s="56">
        <v>7.608</v>
      </c>
      <c r="H112" s="55">
        <v>0</v>
      </c>
      <c r="I112" s="65">
        <v>0</v>
      </c>
      <c r="J112" s="99" t="str">
        <f t="shared" si="20"/>
        <v>не более 6,4</v>
      </c>
      <c r="K112" s="99"/>
      <c r="L112" s="84">
        <v>66.7</v>
      </c>
      <c r="M112" s="84"/>
      <c r="N112" s="84"/>
      <c r="O112" s="84">
        <v>33.3</v>
      </c>
      <c r="P112" s="84"/>
      <c r="Q112" s="84"/>
    </row>
    <row r="113" spans="1:17" ht="15">
      <c r="A113" s="78"/>
      <c r="B113" s="92"/>
      <c r="C113" s="80"/>
      <c r="D113" s="32">
        <v>2023</v>
      </c>
      <c r="E113" s="56">
        <f t="shared" si="19"/>
        <v>69.4197</v>
      </c>
      <c r="F113" s="56">
        <v>69.4197</v>
      </c>
      <c r="G113" s="56">
        <v>0</v>
      </c>
      <c r="H113" s="55">
        <v>0</v>
      </c>
      <c r="I113" s="65">
        <v>0</v>
      </c>
      <c r="J113" s="99" t="str">
        <f t="shared" si="20"/>
        <v>не более 6,4</v>
      </c>
      <c r="K113" s="99"/>
      <c r="L113" s="84">
        <v>66.7</v>
      </c>
      <c r="M113" s="84"/>
      <c r="N113" s="84"/>
      <c r="O113" s="84">
        <f>O112</f>
        <v>33.3</v>
      </c>
      <c r="P113" s="84"/>
      <c r="Q113" s="84"/>
    </row>
    <row r="114" spans="1:17" ht="15">
      <c r="A114" s="78"/>
      <c r="B114" s="92"/>
      <c r="C114" s="80"/>
      <c r="D114" s="32">
        <v>2024</v>
      </c>
      <c r="E114" s="56">
        <f t="shared" si="19"/>
        <v>69.4197</v>
      </c>
      <c r="F114" s="56">
        <v>69.4197</v>
      </c>
      <c r="G114" s="56">
        <v>0</v>
      </c>
      <c r="H114" s="55">
        <v>0</v>
      </c>
      <c r="I114" s="65">
        <v>0</v>
      </c>
      <c r="J114" s="99" t="str">
        <f t="shared" si="20"/>
        <v>не более 6,4</v>
      </c>
      <c r="K114" s="99"/>
      <c r="L114" s="84">
        <f>L113</f>
        <v>66.7</v>
      </c>
      <c r="M114" s="84"/>
      <c r="N114" s="84"/>
      <c r="O114" s="84">
        <f>O113</f>
        <v>33.3</v>
      </c>
      <c r="P114" s="84"/>
      <c r="Q114" s="84"/>
    </row>
    <row r="115" spans="1:17" ht="15">
      <c r="A115" s="78"/>
      <c r="B115" s="92"/>
      <c r="C115" s="80"/>
      <c r="D115" s="32">
        <v>2025</v>
      </c>
      <c r="E115" s="56">
        <f t="shared" si="19"/>
        <v>69.4197</v>
      </c>
      <c r="F115" s="56">
        <v>69.4197</v>
      </c>
      <c r="G115" s="56">
        <v>0</v>
      </c>
      <c r="H115" s="55">
        <v>0</v>
      </c>
      <c r="I115" s="65">
        <v>0</v>
      </c>
      <c r="J115" s="99" t="str">
        <f t="shared" si="20"/>
        <v>не более 6,4</v>
      </c>
      <c r="K115" s="99"/>
      <c r="L115" s="84">
        <f>L114</f>
        <v>66.7</v>
      </c>
      <c r="M115" s="84"/>
      <c r="N115" s="84"/>
      <c r="O115" s="84">
        <f>O114</f>
        <v>33.3</v>
      </c>
      <c r="P115" s="84"/>
      <c r="Q115" s="84"/>
    </row>
    <row r="116" spans="1:17" ht="15">
      <c r="A116" s="78"/>
      <c r="B116" s="92"/>
      <c r="C116" s="80"/>
      <c r="D116" s="32">
        <v>2026</v>
      </c>
      <c r="E116" s="56">
        <f t="shared" si="19"/>
        <v>69.4197</v>
      </c>
      <c r="F116" s="56">
        <v>69.4197</v>
      </c>
      <c r="G116" s="56">
        <v>0</v>
      </c>
      <c r="H116" s="55">
        <v>0</v>
      </c>
      <c r="I116" s="65">
        <v>0</v>
      </c>
      <c r="J116" s="99" t="str">
        <f t="shared" si="20"/>
        <v>не более 6,4</v>
      </c>
      <c r="K116" s="99"/>
      <c r="L116" s="84">
        <f>L115</f>
        <v>66.7</v>
      </c>
      <c r="M116" s="84"/>
      <c r="N116" s="84"/>
      <c r="O116" s="84">
        <f>O115</f>
        <v>33.3</v>
      </c>
      <c r="P116" s="84"/>
      <c r="Q116" s="84"/>
    </row>
    <row r="117" spans="1:17" ht="87.75" customHeight="1">
      <c r="A117" s="78" t="s">
        <v>151</v>
      </c>
      <c r="B117" s="92" t="s">
        <v>210</v>
      </c>
      <c r="C117" s="80" t="s">
        <v>188</v>
      </c>
      <c r="D117" s="35" t="s">
        <v>19</v>
      </c>
      <c r="E117" s="58">
        <f>E120+E121+E122+E123+E124+E118+E119</f>
        <v>1565.32209303</v>
      </c>
      <c r="F117" s="58">
        <f>F120+F121+F122+F123+F124+F118+F119</f>
        <v>1390.26895465</v>
      </c>
      <c r="G117" s="58">
        <f>G120+G121+G122+G123+G124+G118+G119</f>
        <v>175.05313838</v>
      </c>
      <c r="H117" s="53">
        <f>H120+H121+H122+H123+H124+H118+H119</f>
        <v>0</v>
      </c>
      <c r="I117" s="63">
        <f>I120+I121+I122+I123+I124+I118+I119</f>
        <v>0</v>
      </c>
      <c r="J117" s="100" t="s">
        <v>176</v>
      </c>
      <c r="K117" s="100"/>
      <c r="L117" s="87" t="s">
        <v>177</v>
      </c>
      <c r="M117" s="87"/>
      <c r="N117" s="87"/>
      <c r="O117" s="87" t="s">
        <v>178</v>
      </c>
      <c r="P117" s="87"/>
      <c r="Q117" s="87"/>
    </row>
    <row r="118" spans="1:17" ht="15">
      <c r="A118" s="78"/>
      <c r="B118" s="92"/>
      <c r="C118" s="80"/>
      <c r="D118" s="32">
        <v>2020</v>
      </c>
      <c r="E118" s="58">
        <f aca="true" t="shared" si="21" ref="E118:E124">F118+G118+H118+I118</f>
        <v>223.33919303</v>
      </c>
      <c r="F118" s="58">
        <f>167.7816-2.6876-0.00417693-0.00356842</f>
        <v>165.08625465</v>
      </c>
      <c r="G118" s="58">
        <f>58.4001-0.07936162-0.0678</f>
        <v>58.25293838</v>
      </c>
      <c r="H118" s="52">
        <v>0</v>
      </c>
      <c r="I118" s="63">
        <v>0</v>
      </c>
      <c r="J118" s="82">
        <f>J102</f>
        <v>15.2</v>
      </c>
      <c r="K118" s="82"/>
      <c r="L118" s="87">
        <f>L110</f>
        <v>66.7</v>
      </c>
      <c r="M118" s="87"/>
      <c r="N118" s="87"/>
      <c r="O118" s="87">
        <f>O110</f>
        <v>33.3</v>
      </c>
      <c r="P118" s="87"/>
      <c r="Q118" s="87"/>
    </row>
    <row r="119" spans="1:17" ht="15">
      <c r="A119" s="78"/>
      <c r="B119" s="92"/>
      <c r="C119" s="80"/>
      <c r="D119" s="32">
        <v>2021</v>
      </c>
      <c r="E119" s="53">
        <f t="shared" si="21"/>
        <v>234.72500000000002</v>
      </c>
      <c r="F119" s="53">
        <v>176.3249</v>
      </c>
      <c r="G119" s="52">
        <v>58.4001</v>
      </c>
      <c r="H119" s="52">
        <v>0</v>
      </c>
      <c r="I119" s="63">
        <v>0</v>
      </c>
      <c r="J119" s="82">
        <f aca="true" t="shared" si="22" ref="J119:J124">J103</f>
        <v>15.2</v>
      </c>
      <c r="K119" s="82"/>
      <c r="L119" s="87">
        <f aca="true" t="shared" si="23" ref="L119:L124">L111</f>
        <v>66.7</v>
      </c>
      <c r="M119" s="87"/>
      <c r="N119" s="87"/>
      <c r="O119" s="87">
        <f aca="true" t="shared" si="24" ref="O119:O124">O111</f>
        <v>33.3</v>
      </c>
      <c r="P119" s="87"/>
      <c r="Q119" s="87"/>
    </row>
    <row r="120" spans="1:17" ht="15">
      <c r="A120" s="78"/>
      <c r="B120" s="92"/>
      <c r="C120" s="80"/>
      <c r="D120" s="32">
        <v>2022</v>
      </c>
      <c r="E120" s="53">
        <f t="shared" si="21"/>
        <v>244.0119</v>
      </c>
      <c r="F120" s="53">
        <v>185.6118</v>
      </c>
      <c r="G120" s="52">
        <v>58.4001</v>
      </c>
      <c r="H120" s="52">
        <v>0</v>
      </c>
      <c r="I120" s="63">
        <v>0</v>
      </c>
      <c r="J120" s="82">
        <f t="shared" si="22"/>
        <v>15.2</v>
      </c>
      <c r="K120" s="82"/>
      <c r="L120" s="87">
        <f t="shared" si="23"/>
        <v>66.7</v>
      </c>
      <c r="M120" s="87"/>
      <c r="N120" s="87"/>
      <c r="O120" s="87">
        <f t="shared" si="24"/>
        <v>33.3</v>
      </c>
      <c r="P120" s="87"/>
      <c r="Q120" s="87"/>
    </row>
    <row r="121" spans="1:17" ht="15">
      <c r="A121" s="78"/>
      <c r="B121" s="92"/>
      <c r="C121" s="80"/>
      <c r="D121" s="32">
        <v>2023</v>
      </c>
      <c r="E121" s="53">
        <f t="shared" si="21"/>
        <v>215.8115</v>
      </c>
      <c r="F121" s="53">
        <v>215.8115</v>
      </c>
      <c r="G121" s="52">
        <v>0</v>
      </c>
      <c r="H121" s="52">
        <v>0</v>
      </c>
      <c r="I121" s="63">
        <v>0</v>
      </c>
      <c r="J121" s="82">
        <f t="shared" si="22"/>
        <v>15.2</v>
      </c>
      <c r="K121" s="82"/>
      <c r="L121" s="87">
        <f t="shared" si="23"/>
        <v>66.7</v>
      </c>
      <c r="M121" s="87"/>
      <c r="N121" s="87"/>
      <c r="O121" s="87">
        <f t="shared" si="24"/>
        <v>33.3</v>
      </c>
      <c r="P121" s="87"/>
      <c r="Q121" s="87"/>
    </row>
    <row r="122" spans="1:17" ht="15">
      <c r="A122" s="78"/>
      <c r="B122" s="92"/>
      <c r="C122" s="80"/>
      <c r="D122" s="32">
        <v>2024</v>
      </c>
      <c r="E122" s="53">
        <f t="shared" si="21"/>
        <v>215.8115</v>
      </c>
      <c r="F122" s="53">
        <v>215.8115</v>
      </c>
      <c r="G122" s="52">
        <v>0</v>
      </c>
      <c r="H122" s="52">
        <v>0</v>
      </c>
      <c r="I122" s="63">
        <v>0</v>
      </c>
      <c r="J122" s="82">
        <f t="shared" si="22"/>
        <v>15.2</v>
      </c>
      <c r="K122" s="82"/>
      <c r="L122" s="87">
        <f t="shared" si="23"/>
        <v>66.7</v>
      </c>
      <c r="M122" s="87"/>
      <c r="N122" s="87"/>
      <c r="O122" s="87">
        <f t="shared" si="24"/>
        <v>33.3</v>
      </c>
      <c r="P122" s="87"/>
      <c r="Q122" s="87"/>
    </row>
    <row r="123" spans="1:17" ht="15">
      <c r="A123" s="78"/>
      <c r="B123" s="92"/>
      <c r="C123" s="80"/>
      <c r="D123" s="32">
        <v>2025</v>
      </c>
      <c r="E123" s="53">
        <f t="shared" si="21"/>
        <v>215.8115</v>
      </c>
      <c r="F123" s="53">
        <v>215.8115</v>
      </c>
      <c r="G123" s="52">
        <v>0</v>
      </c>
      <c r="H123" s="52">
        <v>0</v>
      </c>
      <c r="I123" s="63">
        <v>0</v>
      </c>
      <c r="J123" s="82">
        <f t="shared" si="22"/>
        <v>15.2</v>
      </c>
      <c r="K123" s="82"/>
      <c r="L123" s="87">
        <f t="shared" si="23"/>
        <v>66.7</v>
      </c>
      <c r="M123" s="87"/>
      <c r="N123" s="87"/>
      <c r="O123" s="87">
        <f t="shared" si="24"/>
        <v>33.3</v>
      </c>
      <c r="P123" s="87"/>
      <c r="Q123" s="87"/>
    </row>
    <row r="124" spans="1:17" ht="15">
      <c r="A124" s="78"/>
      <c r="B124" s="92"/>
      <c r="C124" s="80"/>
      <c r="D124" s="32">
        <v>2026</v>
      </c>
      <c r="E124" s="53">
        <f t="shared" si="21"/>
        <v>215.8115</v>
      </c>
      <c r="F124" s="53">
        <v>215.8115</v>
      </c>
      <c r="G124" s="52">
        <v>0</v>
      </c>
      <c r="H124" s="52">
        <v>0</v>
      </c>
      <c r="I124" s="63">
        <v>0</v>
      </c>
      <c r="J124" s="82">
        <f t="shared" si="22"/>
        <v>15.2</v>
      </c>
      <c r="K124" s="82"/>
      <c r="L124" s="87">
        <f t="shared" si="23"/>
        <v>66.7</v>
      </c>
      <c r="M124" s="87"/>
      <c r="N124" s="87"/>
      <c r="O124" s="87">
        <f t="shared" si="24"/>
        <v>33.3</v>
      </c>
      <c r="P124" s="87"/>
      <c r="Q124" s="87"/>
    </row>
    <row r="125" spans="1:17" ht="99" customHeight="1">
      <c r="A125" s="78" t="s">
        <v>152</v>
      </c>
      <c r="B125" s="92" t="s">
        <v>211</v>
      </c>
      <c r="C125" s="80" t="s">
        <v>23</v>
      </c>
      <c r="D125" s="35" t="s">
        <v>19</v>
      </c>
      <c r="E125" s="52">
        <f>E128+E129+E130+E131+E132+E126+E127</f>
        <v>843.0971000000001</v>
      </c>
      <c r="F125" s="52">
        <f>F128+F129+F130+F131+F132+F126+F127</f>
        <v>0</v>
      </c>
      <c r="G125" s="52">
        <f>G128+G129+G130+G131+G132+G126+G127</f>
        <v>843.0971000000001</v>
      </c>
      <c r="H125" s="52">
        <f>H128+H129+H130+H131+H132+H126+H127</f>
        <v>0</v>
      </c>
      <c r="I125" s="63">
        <f>I128+I129+I130+I131+I132+I126+I127</f>
        <v>0</v>
      </c>
      <c r="J125" s="93" t="s">
        <v>180</v>
      </c>
      <c r="K125" s="93"/>
      <c r="L125" s="87" t="s">
        <v>179</v>
      </c>
      <c r="M125" s="87"/>
      <c r="N125" s="87"/>
      <c r="O125" s="87" t="s">
        <v>181</v>
      </c>
      <c r="P125" s="87"/>
      <c r="Q125" s="87"/>
    </row>
    <row r="126" spans="1:17" ht="15">
      <c r="A126" s="78"/>
      <c r="B126" s="92"/>
      <c r="C126" s="80"/>
      <c r="D126" s="32">
        <v>2020</v>
      </c>
      <c r="E126" s="52">
        <f aca="true" t="shared" si="25" ref="E126:E132">F126+G126+H126+I126</f>
        <v>109.9907</v>
      </c>
      <c r="F126" s="52">
        <v>0</v>
      </c>
      <c r="G126" s="52">
        <v>109.9907</v>
      </c>
      <c r="H126" s="52">
        <v>0</v>
      </c>
      <c r="I126" s="63">
        <v>0</v>
      </c>
      <c r="J126" s="67">
        <v>100</v>
      </c>
      <c r="K126" s="67"/>
      <c r="L126" s="84">
        <v>100</v>
      </c>
      <c r="M126" s="84"/>
      <c r="N126" s="84"/>
      <c r="O126" s="84">
        <v>100</v>
      </c>
      <c r="P126" s="84"/>
      <c r="Q126" s="84"/>
    </row>
    <row r="127" spans="1:17" ht="15">
      <c r="A127" s="78"/>
      <c r="B127" s="92"/>
      <c r="C127" s="80"/>
      <c r="D127" s="32">
        <v>2021</v>
      </c>
      <c r="E127" s="52">
        <f t="shared" si="25"/>
        <v>112.8998</v>
      </c>
      <c r="F127" s="52">
        <v>0</v>
      </c>
      <c r="G127" s="52">
        <v>112.8998</v>
      </c>
      <c r="H127" s="52">
        <v>0</v>
      </c>
      <c r="I127" s="63">
        <v>0</v>
      </c>
      <c r="J127" s="67">
        <v>100</v>
      </c>
      <c r="K127" s="67"/>
      <c r="L127" s="84">
        <v>100</v>
      </c>
      <c r="M127" s="84"/>
      <c r="N127" s="84"/>
      <c r="O127" s="84">
        <v>100</v>
      </c>
      <c r="P127" s="84"/>
      <c r="Q127" s="84"/>
    </row>
    <row r="128" spans="1:17" ht="14.25" customHeight="1">
      <c r="A128" s="78"/>
      <c r="B128" s="92"/>
      <c r="C128" s="80"/>
      <c r="D128" s="32">
        <v>2022</v>
      </c>
      <c r="E128" s="52">
        <f t="shared" si="25"/>
        <v>116.2402</v>
      </c>
      <c r="F128" s="52">
        <v>0</v>
      </c>
      <c r="G128" s="52">
        <v>116.2402</v>
      </c>
      <c r="H128" s="52">
        <v>0</v>
      </c>
      <c r="I128" s="63">
        <v>0</v>
      </c>
      <c r="J128" s="67">
        <v>100</v>
      </c>
      <c r="K128" s="67"/>
      <c r="L128" s="84">
        <v>100</v>
      </c>
      <c r="M128" s="84"/>
      <c r="N128" s="84"/>
      <c r="O128" s="84">
        <v>100</v>
      </c>
      <c r="P128" s="84"/>
      <c r="Q128" s="84"/>
    </row>
    <row r="129" spans="1:17" ht="12.75" customHeight="1">
      <c r="A129" s="78"/>
      <c r="B129" s="92"/>
      <c r="C129" s="80"/>
      <c r="D129" s="32">
        <v>2023</v>
      </c>
      <c r="E129" s="52">
        <f t="shared" si="25"/>
        <v>125.9916</v>
      </c>
      <c r="F129" s="52">
        <v>0</v>
      </c>
      <c r="G129" s="52">
        <v>125.9916</v>
      </c>
      <c r="H129" s="52">
        <v>0</v>
      </c>
      <c r="I129" s="63">
        <v>0</v>
      </c>
      <c r="J129" s="67">
        <v>100</v>
      </c>
      <c r="K129" s="67"/>
      <c r="L129" s="84">
        <v>100</v>
      </c>
      <c r="M129" s="84"/>
      <c r="N129" s="84"/>
      <c r="O129" s="84">
        <v>100</v>
      </c>
      <c r="P129" s="84"/>
      <c r="Q129" s="84"/>
    </row>
    <row r="130" spans="1:17" ht="14.25" customHeight="1">
      <c r="A130" s="78"/>
      <c r="B130" s="92"/>
      <c r="C130" s="80"/>
      <c r="D130" s="32">
        <v>2024</v>
      </c>
      <c r="E130" s="52">
        <f t="shared" si="25"/>
        <v>125.9916</v>
      </c>
      <c r="F130" s="52">
        <v>0</v>
      </c>
      <c r="G130" s="52">
        <v>125.9916</v>
      </c>
      <c r="H130" s="52">
        <v>0</v>
      </c>
      <c r="I130" s="63">
        <v>0</v>
      </c>
      <c r="J130" s="67">
        <v>100</v>
      </c>
      <c r="K130" s="67"/>
      <c r="L130" s="84">
        <v>100</v>
      </c>
      <c r="M130" s="84"/>
      <c r="N130" s="84"/>
      <c r="O130" s="84">
        <v>100</v>
      </c>
      <c r="P130" s="84"/>
      <c r="Q130" s="84"/>
    </row>
    <row r="131" spans="1:17" ht="14.25" customHeight="1">
      <c r="A131" s="78"/>
      <c r="B131" s="92"/>
      <c r="C131" s="80"/>
      <c r="D131" s="32">
        <v>2025</v>
      </c>
      <c r="E131" s="52">
        <f t="shared" si="25"/>
        <v>125.9916</v>
      </c>
      <c r="F131" s="52">
        <v>0</v>
      </c>
      <c r="G131" s="52">
        <v>125.9916</v>
      </c>
      <c r="H131" s="52">
        <v>0</v>
      </c>
      <c r="I131" s="63">
        <v>0</v>
      </c>
      <c r="J131" s="67">
        <v>100</v>
      </c>
      <c r="K131" s="67"/>
      <c r="L131" s="84">
        <v>100</v>
      </c>
      <c r="M131" s="84"/>
      <c r="N131" s="84"/>
      <c r="O131" s="84">
        <v>100</v>
      </c>
      <c r="P131" s="84"/>
      <c r="Q131" s="84"/>
    </row>
    <row r="132" spans="1:17" ht="12.75" customHeight="1">
      <c r="A132" s="78"/>
      <c r="B132" s="92"/>
      <c r="C132" s="80"/>
      <c r="D132" s="32">
        <v>2026</v>
      </c>
      <c r="E132" s="52">
        <f t="shared" si="25"/>
        <v>125.9916</v>
      </c>
      <c r="F132" s="52">
        <v>0</v>
      </c>
      <c r="G132" s="52">
        <v>125.9916</v>
      </c>
      <c r="H132" s="52">
        <v>0</v>
      </c>
      <c r="I132" s="63">
        <v>0</v>
      </c>
      <c r="J132" s="67">
        <v>100</v>
      </c>
      <c r="K132" s="67"/>
      <c r="L132" s="84">
        <v>100</v>
      </c>
      <c r="M132" s="84"/>
      <c r="N132" s="84"/>
      <c r="O132" s="84">
        <v>100</v>
      </c>
      <c r="P132" s="84"/>
      <c r="Q132" s="84"/>
    </row>
    <row r="133" spans="1:17" ht="30.75" customHeight="1">
      <c r="A133" s="78" t="s">
        <v>153</v>
      </c>
      <c r="B133" s="79" t="s">
        <v>212</v>
      </c>
      <c r="C133" s="80" t="s">
        <v>23</v>
      </c>
      <c r="D133" s="35" t="s">
        <v>19</v>
      </c>
      <c r="E133" s="52">
        <f>SUM(E134:E140)</f>
        <v>427.6243</v>
      </c>
      <c r="F133" s="52">
        <f>SUM(F134:F140)</f>
        <v>0</v>
      </c>
      <c r="G133" s="52">
        <f>SUM(G134:G140)</f>
        <v>427.6243</v>
      </c>
      <c r="H133" s="52">
        <f>SUM(H134:H140)</f>
        <v>0</v>
      </c>
      <c r="I133" s="63">
        <f>SUM(I134:I140)</f>
        <v>0</v>
      </c>
      <c r="J133" s="82" t="s">
        <v>167</v>
      </c>
      <c r="K133" s="82"/>
      <c r="L133" s="82"/>
      <c r="M133" s="82"/>
      <c r="N133" s="82"/>
      <c r="O133" s="82"/>
      <c r="P133" s="82"/>
      <c r="Q133" s="82"/>
    </row>
    <row r="134" spans="1:17" ht="15">
      <c r="A134" s="78"/>
      <c r="B134" s="79"/>
      <c r="C134" s="80"/>
      <c r="D134" s="32">
        <v>2020</v>
      </c>
      <c r="E134" s="52">
        <f aca="true" t="shared" si="26" ref="E134:E140">F134+G134+H134+I134</f>
        <v>44.1633</v>
      </c>
      <c r="F134" s="52">
        <v>0</v>
      </c>
      <c r="G134" s="52">
        <v>44.1633</v>
      </c>
      <c r="H134" s="52">
        <v>0</v>
      </c>
      <c r="I134" s="63">
        <v>0</v>
      </c>
      <c r="J134" s="67">
        <v>100</v>
      </c>
      <c r="K134" s="67"/>
      <c r="L134" s="67"/>
      <c r="M134" s="67"/>
      <c r="N134" s="67"/>
      <c r="O134" s="67"/>
      <c r="P134" s="67"/>
      <c r="Q134" s="67"/>
    </row>
    <row r="135" spans="1:17" ht="15">
      <c r="A135" s="78"/>
      <c r="B135" s="79"/>
      <c r="C135" s="80"/>
      <c r="D135" s="32">
        <v>2021</v>
      </c>
      <c r="E135" s="52">
        <f t="shared" si="26"/>
        <v>44.5538</v>
      </c>
      <c r="F135" s="52">
        <v>0</v>
      </c>
      <c r="G135" s="52">
        <v>44.5538</v>
      </c>
      <c r="H135" s="52">
        <v>0</v>
      </c>
      <c r="I135" s="63">
        <v>0</v>
      </c>
      <c r="J135" s="67">
        <v>100</v>
      </c>
      <c r="K135" s="67"/>
      <c r="L135" s="67"/>
      <c r="M135" s="67"/>
      <c r="N135" s="67"/>
      <c r="O135" s="67"/>
      <c r="P135" s="67"/>
      <c r="Q135" s="67"/>
    </row>
    <row r="136" spans="1:17" ht="15">
      <c r="A136" s="78"/>
      <c r="B136" s="79"/>
      <c r="C136" s="80"/>
      <c r="D136" s="32">
        <v>2022</v>
      </c>
      <c r="E136" s="52">
        <f t="shared" si="26"/>
        <v>45.2804</v>
      </c>
      <c r="F136" s="52">
        <v>0</v>
      </c>
      <c r="G136" s="52">
        <v>45.2804</v>
      </c>
      <c r="H136" s="52">
        <v>0</v>
      </c>
      <c r="I136" s="63">
        <v>0</v>
      </c>
      <c r="J136" s="67">
        <v>100</v>
      </c>
      <c r="K136" s="67"/>
      <c r="L136" s="67"/>
      <c r="M136" s="67"/>
      <c r="N136" s="67"/>
      <c r="O136" s="67"/>
      <c r="P136" s="67"/>
      <c r="Q136" s="67"/>
    </row>
    <row r="137" spans="1:17" ht="15">
      <c r="A137" s="78"/>
      <c r="B137" s="79"/>
      <c r="C137" s="80"/>
      <c r="D137" s="32">
        <v>2023</v>
      </c>
      <c r="E137" s="52">
        <f t="shared" si="26"/>
        <v>73.4067</v>
      </c>
      <c r="F137" s="52">
        <v>0</v>
      </c>
      <c r="G137" s="52">
        <v>73.4067</v>
      </c>
      <c r="H137" s="52">
        <v>0</v>
      </c>
      <c r="I137" s="63">
        <v>0</v>
      </c>
      <c r="J137" s="67">
        <v>100</v>
      </c>
      <c r="K137" s="67"/>
      <c r="L137" s="67"/>
      <c r="M137" s="67"/>
      <c r="N137" s="67"/>
      <c r="O137" s="67"/>
      <c r="P137" s="67"/>
      <c r="Q137" s="67"/>
    </row>
    <row r="138" spans="1:17" ht="15">
      <c r="A138" s="78"/>
      <c r="B138" s="79"/>
      <c r="C138" s="80"/>
      <c r="D138" s="32">
        <v>2024</v>
      </c>
      <c r="E138" s="52">
        <f t="shared" si="26"/>
        <v>73.4067</v>
      </c>
      <c r="F138" s="52">
        <v>0</v>
      </c>
      <c r="G138" s="52">
        <v>73.4067</v>
      </c>
      <c r="H138" s="52">
        <v>0</v>
      </c>
      <c r="I138" s="63">
        <v>0</v>
      </c>
      <c r="J138" s="67">
        <v>100</v>
      </c>
      <c r="K138" s="67"/>
      <c r="L138" s="67"/>
      <c r="M138" s="67"/>
      <c r="N138" s="67"/>
      <c r="O138" s="67"/>
      <c r="P138" s="67"/>
      <c r="Q138" s="67"/>
    </row>
    <row r="139" spans="1:17" ht="15">
      <c r="A139" s="78"/>
      <c r="B139" s="79"/>
      <c r="C139" s="80"/>
      <c r="D139" s="32">
        <v>2025</v>
      </c>
      <c r="E139" s="52">
        <f t="shared" si="26"/>
        <v>73.4067</v>
      </c>
      <c r="F139" s="52">
        <v>0</v>
      </c>
      <c r="G139" s="52">
        <v>73.4067</v>
      </c>
      <c r="H139" s="52">
        <v>0</v>
      </c>
      <c r="I139" s="63">
        <v>0</v>
      </c>
      <c r="J139" s="67">
        <v>100</v>
      </c>
      <c r="K139" s="67"/>
      <c r="L139" s="67"/>
      <c r="M139" s="67"/>
      <c r="N139" s="67"/>
      <c r="O139" s="67"/>
      <c r="P139" s="67"/>
      <c r="Q139" s="67"/>
    </row>
    <row r="140" spans="1:17" ht="15">
      <c r="A140" s="78"/>
      <c r="B140" s="79"/>
      <c r="C140" s="80"/>
      <c r="D140" s="32">
        <v>2026</v>
      </c>
      <c r="E140" s="52">
        <f t="shared" si="26"/>
        <v>73.4067</v>
      </c>
      <c r="F140" s="52">
        <v>0</v>
      </c>
      <c r="G140" s="52">
        <v>73.4067</v>
      </c>
      <c r="H140" s="52">
        <v>0</v>
      </c>
      <c r="I140" s="63">
        <v>0</v>
      </c>
      <c r="J140" s="67">
        <v>100</v>
      </c>
      <c r="K140" s="67"/>
      <c r="L140" s="67"/>
      <c r="M140" s="67"/>
      <c r="N140" s="67"/>
      <c r="O140" s="67"/>
      <c r="P140" s="67"/>
      <c r="Q140" s="67"/>
    </row>
    <row r="141" spans="1:17" s="30" customFormat="1" ht="15" customHeight="1">
      <c r="A141" s="78" t="s">
        <v>156</v>
      </c>
      <c r="B141" s="79" t="s">
        <v>213</v>
      </c>
      <c r="C141" s="80" t="s">
        <v>188</v>
      </c>
      <c r="D141" s="35" t="s">
        <v>19</v>
      </c>
      <c r="E141" s="58">
        <f>SUM(E142:E148)</f>
        <v>5.8184</v>
      </c>
      <c r="F141" s="58">
        <f>SUM(F142:F148)</f>
        <v>5.8184</v>
      </c>
      <c r="G141" s="52">
        <f>SUM(G142:G148)</f>
        <v>0</v>
      </c>
      <c r="H141" s="52">
        <f>SUM(H142:H148)</f>
        <v>0</v>
      </c>
      <c r="I141" s="63">
        <f>SUM(I142:I148)</f>
        <v>0</v>
      </c>
      <c r="J141" s="107" t="s">
        <v>126</v>
      </c>
      <c r="K141" s="107"/>
      <c r="L141" s="107"/>
      <c r="M141" s="107"/>
      <c r="N141" s="107"/>
      <c r="O141" s="107"/>
      <c r="P141" s="107"/>
      <c r="Q141" s="107"/>
    </row>
    <row r="142" spans="1:17" s="30" customFormat="1" ht="15" customHeight="1">
      <c r="A142" s="78"/>
      <c r="B142" s="79"/>
      <c r="C142" s="80"/>
      <c r="D142" s="32">
        <v>2020</v>
      </c>
      <c r="E142" s="58">
        <f aca="true" t="shared" si="27" ref="E142:E148">F142+G142+H142+I142</f>
        <v>1.3568</v>
      </c>
      <c r="F142" s="58">
        <f>0.7436+0.255+0.0494+-0.0018+0.2406+0.07</f>
        <v>1.3568</v>
      </c>
      <c r="G142" s="52">
        <v>0</v>
      </c>
      <c r="H142" s="52">
        <v>0</v>
      </c>
      <c r="I142" s="63">
        <v>0</v>
      </c>
      <c r="J142" s="107"/>
      <c r="K142" s="107"/>
      <c r="L142" s="107"/>
      <c r="M142" s="107"/>
      <c r="N142" s="107"/>
      <c r="O142" s="107"/>
      <c r="P142" s="107"/>
      <c r="Q142" s="107"/>
    </row>
    <row r="143" spans="1:17" s="30" customFormat="1" ht="15" customHeight="1">
      <c r="A143" s="78"/>
      <c r="B143" s="79"/>
      <c r="C143" s="80"/>
      <c r="D143" s="32">
        <v>2021</v>
      </c>
      <c r="E143" s="52">
        <f t="shared" si="27"/>
        <v>0.7436</v>
      </c>
      <c r="F143" s="52">
        <v>0.7436</v>
      </c>
      <c r="G143" s="52">
        <v>0</v>
      </c>
      <c r="H143" s="52">
        <v>0</v>
      </c>
      <c r="I143" s="63">
        <v>0</v>
      </c>
      <c r="J143" s="107"/>
      <c r="K143" s="107"/>
      <c r="L143" s="107"/>
      <c r="M143" s="107"/>
      <c r="N143" s="107"/>
      <c r="O143" s="107"/>
      <c r="P143" s="107"/>
      <c r="Q143" s="107"/>
    </row>
    <row r="144" spans="1:17" s="30" customFormat="1" ht="15">
      <c r="A144" s="78"/>
      <c r="B144" s="79"/>
      <c r="C144" s="80"/>
      <c r="D144" s="32">
        <v>2022</v>
      </c>
      <c r="E144" s="52">
        <f t="shared" si="27"/>
        <v>0.7436</v>
      </c>
      <c r="F144" s="52">
        <v>0.7436</v>
      </c>
      <c r="G144" s="52">
        <v>0</v>
      </c>
      <c r="H144" s="52">
        <v>0</v>
      </c>
      <c r="I144" s="63">
        <v>0</v>
      </c>
      <c r="J144" s="107"/>
      <c r="K144" s="107"/>
      <c r="L144" s="107"/>
      <c r="M144" s="107"/>
      <c r="N144" s="107"/>
      <c r="O144" s="107"/>
      <c r="P144" s="107"/>
      <c r="Q144" s="107"/>
    </row>
    <row r="145" spans="1:17" s="30" customFormat="1" ht="15">
      <c r="A145" s="78"/>
      <c r="B145" s="79"/>
      <c r="C145" s="80"/>
      <c r="D145" s="32">
        <v>2023</v>
      </c>
      <c r="E145" s="52">
        <f t="shared" si="27"/>
        <v>0.7436</v>
      </c>
      <c r="F145" s="52">
        <v>0.7436</v>
      </c>
      <c r="G145" s="52">
        <v>0</v>
      </c>
      <c r="H145" s="52">
        <v>0</v>
      </c>
      <c r="I145" s="63">
        <v>0</v>
      </c>
      <c r="J145" s="107"/>
      <c r="K145" s="107"/>
      <c r="L145" s="107"/>
      <c r="M145" s="107"/>
      <c r="N145" s="107"/>
      <c r="O145" s="107"/>
      <c r="P145" s="107"/>
      <c r="Q145" s="107"/>
    </row>
    <row r="146" spans="1:17" s="30" customFormat="1" ht="15">
      <c r="A146" s="78"/>
      <c r="B146" s="79"/>
      <c r="C146" s="80"/>
      <c r="D146" s="32">
        <v>2024</v>
      </c>
      <c r="E146" s="52">
        <f t="shared" si="27"/>
        <v>0.7436</v>
      </c>
      <c r="F146" s="52">
        <v>0.7436</v>
      </c>
      <c r="G146" s="52">
        <v>0</v>
      </c>
      <c r="H146" s="52">
        <v>0</v>
      </c>
      <c r="I146" s="63">
        <v>0</v>
      </c>
      <c r="J146" s="107"/>
      <c r="K146" s="107"/>
      <c r="L146" s="107"/>
      <c r="M146" s="107"/>
      <c r="N146" s="107"/>
      <c r="O146" s="107"/>
      <c r="P146" s="107"/>
      <c r="Q146" s="107"/>
    </row>
    <row r="147" spans="1:17" s="30" customFormat="1" ht="15">
      <c r="A147" s="78"/>
      <c r="B147" s="79"/>
      <c r="C147" s="80"/>
      <c r="D147" s="32">
        <v>2025</v>
      </c>
      <c r="E147" s="52">
        <f t="shared" si="27"/>
        <v>0.7436</v>
      </c>
      <c r="F147" s="52">
        <v>0.7436</v>
      </c>
      <c r="G147" s="52">
        <v>0</v>
      </c>
      <c r="H147" s="52">
        <v>0</v>
      </c>
      <c r="I147" s="63">
        <v>0</v>
      </c>
      <c r="J147" s="107"/>
      <c r="K147" s="107"/>
      <c r="L147" s="107"/>
      <c r="M147" s="107"/>
      <c r="N147" s="107"/>
      <c r="O147" s="107"/>
      <c r="P147" s="107"/>
      <c r="Q147" s="107"/>
    </row>
    <row r="148" spans="1:17" s="30" customFormat="1" ht="15">
      <c r="A148" s="78"/>
      <c r="B148" s="79"/>
      <c r="C148" s="80"/>
      <c r="D148" s="32">
        <v>2026</v>
      </c>
      <c r="E148" s="52">
        <f t="shared" si="27"/>
        <v>0.7436</v>
      </c>
      <c r="F148" s="52">
        <v>0.7436</v>
      </c>
      <c r="G148" s="52">
        <v>0</v>
      </c>
      <c r="H148" s="52">
        <v>0</v>
      </c>
      <c r="I148" s="63">
        <v>0</v>
      </c>
      <c r="J148" s="107"/>
      <c r="K148" s="107"/>
      <c r="L148" s="107"/>
      <c r="M148" s="107"/>
      <c r="N148" s="107"/>
      <c r="O148" s="107"/>
      <c r="P148" s="107"/>
      <c r="Q148" s="107"/>
    </row>
    <row r="149" spans="1:17" s="30" customFormat="1" ht="15" customHeight="1">
      <c r="A149" s="78" t="s">
        <v>154</v>
      </c>
      <c r="B149" s="79" t="s">
        <v>214</v>
      </c>
      <c r="C149" s="80" t="s">
        <v>186</v>
      </c>
      <c r="D149" s="35" t="s">
        <v>19</v>
      </c>
      <c r="E149" s="58">
        <f>SUM(E150:E156)</f>
        <v>1.5959640000000002</v>
      </c>
      <c r="F149" s="58">
        <f>SUM(F150:F156)</f>
        <v>1.5959640000000002</v>
      </c>
      <c r="G149" s="52">
        <f>SUM(G150:G156)</f>
        <v>0</v>
      </c>
      <c r="H149" s="52">
        <f>SUM(H150:H156)</f>
        <v>0</v>
      </c>
      <c r="I149" s="63">
        <f>SUM(I150:I156)</f>
        <v>0</v>
      </c>
      <c r="J149" s="107" t="s">
        <v>126</v>
      </c>
      <c r="K149" s="107"/>
      <c r="L149" s="107"/>
      <c r="M149" s="107"/>
      <c r="N149" s="107"/>
      <c r="O149" s="107"/>
      <c r="P149" s="107"/>
      <c r="Q149" s="107"/>
    </row>
    <row r="150" spans="1:17" s="30" customFormat="1" ht="15" customHeight="1">
      <c r="A150" s="78"/>
      <c r="B150" s="79"/>
      <c r="C150" s="80"/>
      <c r="D150" s="32">
        <v>2020</v>
      </c>
      <c r="E150" s="58">
        <f aca="true" t="shared" si="28" ref="E150:E156">F150+G150+H150+I150</f>
        <v>0.185364</v>
      </c>
      <c r="F150" s="58">
        <f>0.2351-0.0494-0.000336</f>
        <v>0.185364</v>
      </c>
      <c r="G150" s="52">
        <v>0</v>
      </c>
      <c r="H150" s="52">
        <v>0</v>
      </c>
      <c r="I150" s="63">
        <v>0</v>
      </c>
      <c r="J150" s="107"/>
      <c r="K150" s="107"/>
      <c r="L150" s="107"/>
      <c r="M150" s="107"/>
      <c r="N150" s="107"/>
      <c r="O150" s="107"/>
      <c r="P150" s="107"/>
      <c r="Q150" s="107"/>
    </row>
    <row r="151" spans="1:17" s="30" customFormat="1" ht="15" customHeight="1">
      <c r="A151" s="78"/>
      <c r="B151" s="79"/>
      <c r="C151" s="80"/>
      <c r="D151" s="32">
        <v>2021</v>
      </c>
      <c r="E151" s="52">
        <f t="shared" si="28"/>
        <v>0.2351</v>
      </c>
      <c r="F151" s="52">
        <v>0.2351</v>
      </c>
      <c r="G151" s="52">
        <v>0</v>
      </c>
      <c r="H151" s="52">
        <v>0</v>
      </c>
      <c r="I151" s="63">
        <v>0</v>
      </c>
      <c r="J151" s="107"/>
      <c r="K151" s="107"/>
      <c r="L151" s="107"/>
      <c r="M151" s="107"/>
      <c r="N151" s="107"/>
      <c r="O151" s="107"/>
      <c r="P151" s="107"/>
      <c r="Q151" s="107"/>
    </row>
    <row r="152" spans="1:17" s="30" customFormat="1" ht="15">
      <c r="A152" s="78"/>
      <c r="B152" s="79"/>
      <c r="C152" s="80"/>
      <c r="D152" s="32">
        <v>2022</v>
      </c>
      <c r="E152" s="52">
        <f t="shared" si="28"/>
        <v>0.2351</v>
      </c>
      <c r="F152" s="52">
        <v>0.2351</v>
      </c>
      <c r="G152" s="52">
        <v>0</v>
      </c>
      <c r="H152" s="52">
        <v>0</v>
      </c>
      <c r="I152" s="63">
        <v>0</v>
      </c>
      <c r="J152" s="107"/>
      <c r="K152" s="107"/>
      <c r="L152" s="107"/>
      <c r="M152" s="107"/>
      <c r="N152" s="107"/>
      <c r="O152" s="107"/>
      <c r="P152" s="107"/>
      <c r="Q152" s="107"/>
    </row>
    <row r="153" spans="1:17" s="30" customFormat="1" ht="15">
      <c r="A153" s="78"/>
      <c r="B153" s="79"/>
      <c r="C153" s="80"/>
      <c r="D153" s="32">
        <v>2023</v>
      </c>
      <c r="E153" s="52">
        <f t="shared" si="28"/>
        <v>0.2351</v>
      </c>
      <c r="F153" s="52">
        <v>0.2351</v>
      </c>
      <c r="G153" s="52">
        <v>0</v>
      </c>
      <c r="H153" s="52">
        <v>0</v>
      </c>
      <c r="I153" s="63">
        <v>0</v>
      </c>
      <c r="J153" s="107"/>
      <c r="K153" s="107"/>
      <c r="L153" s="107"/>
      <c r="M153" s="107"/>
      <c r="N153" s="107"/>
      <c r="O153" s="107"/>
      <c r="P153" s="107"/>
      <c r="Q153" s="107"/>
    </row>
    <row r="154" spans="1:17" s="30" customFormat="1" ht="15">
      <c r="A154" s="78"/>
      <c r="B154" s="79"/>
      <c r="C154" s="80"/>
      <c r="D154" s="32">
        <v>2024</v>
      </c>
      <c r="E154" s="52">
        <f t="shared" si="28"/>
        <v>0.2351</v>
      </c>
      <c r="F154" s="52">
        <v>0.2351</v>
      </c>
      <c r="G154" s="52">
        <v>0</v>
      </c>
      <c r="H154" s="52">
        <v>0</v>
      </c>
      <c r="I154" s="63">
        <v>0</v>
      </c>
      <c r="J154" s="107"/>
      <c r="K154" s="107"/>
      <c r="L154" s="107"/>
      <c r="M154" s="107"/>
      <c r="N154" s="107"/>
      <c r="O154" s="107"/>
      <c r="P154" s="107"/>
      <c r="Q154" s="107"/>
    </row>
    <row r="155" spans="1:17" s="30" customFormat="1" ht="15">
      <c r="A155" s="78"/>
      <c r="B155" s="79"/>
      <c r="C155" s="80"/>
      <c r="D155" s="32">
        <v>2025</v>
      </c>
      <c r="E155" s="52">
        <f t="shared" si="28"/>
        <v>0.2351</v>
      </c>
      <c r="F155" s="52">
        <v>0.2351</v>
      </c>
      <c r="G155" s="52">
        <v>0</v>
      </c>
      <c r="H155" s="52">
        <v>0</v>
      </c>
      <c r="I155" s="63">
        <v>0</v>
      </c>
      <c r="J155" s="107"/>
      <c r="K155" s="107"/>
      <c r="L155" s="107"/>
      <c r="M155" s="107"/>
      <c r="N155" s="107"/>
      <c r="O155" s="107"/>
      <c r="P155" s="107"/>
      <c r="Q155" s="107"/>
    </row>
    <row r="156" spans="1:17" s="30" customFormat="1" ht="78.75" customHeight="1">
      <c r="A156" s="78"/>
      <c r="B156" s="79"/>
      <c r="C156" s="80"/>
      <c r="D156" s="32">
        <v>2026</v>
      </c>
      <c r="E156" s="52">
        <f t="shared" si="28"/>
        <v>0.2351</v>
      </c>
      <c r="F156" s="52">
        <v>0.2351</v>
      </c>
      <c r="G156" s="52">
        <v>0</v>
      </c>
      <c r="H156" s="52">
        <v>0</v>
      </c>
      <c r="I156" s="63">
        <v>0</v>
      </c>
      <c r="J156" s="107"/>
      <c r="K156" s="107"/>
      <c r="L156" s="107"/>
      <c r="M156" s="107"/>
      <c r="N156" s="107"/>
      <c r="O156" s="107"/>
      <c r="P156" s="107"/>
      <c r="Q156" s="107"/>
    </row>
    <row r="157" spans="1:17" ht="55.5" customHeight="1">
      <c r="A157" s="78" t="s">
        <v>155</v>
      </c>
      <c r="B157" s="79" t="s">
        <v>193</v>
      </c>
      <c r="C157" s="80" t="s">
        <v>186</v>
      </c>
      <c r="D157" s="35" t="s">
        <v>19</v>
      </c>
      <c r="E157" s="52">
        <f>SUM(E158:E164)</f>
        <v>73.3661</v>
      </c>
      <c r="F157" s="52">
        <f>SUM(F158:F164)</f>
        <v>0</v>
      </c>
      <c r="G157" s="52">
        <f>SUM(G158:G164)</f>
        <v>73.3661</v>
      </c>
      <c r="H157" s="52">
        <f>SUM(H158:H164)</f>
        <v>0</v>
      </c>
      <c r="I157" s="63">
        <f>SUM(I158:I164)</f>
        <v>0</v>
      </c>
      <c r="J157" s="66" t="s">
        <v>192</v>
      </c>
      <c r="K157" s="66"/>
      <c r="L157" s="66"/>
      <c r="M157" s="66"/>
      <c r="N157" s="66"/>
      <c r="O157" s="66"/>
      <c r="P157" s="66"/>
      <c r="Q157" s="66"/>
    </row>
    <row r="158" spans="1:17" ht="15">
      <c r="A158" s="78"/>
      <c r="B158" s="79"/>
      <c r="C158" s="80"/>
      <c r="D158" s="32">
        <v>2020</v>
      </c>
      <c r="E158" s="52">
        <f aca="true" t="shared" si="29" ref="E158:E164">F158+G158+H158+I158</f>
        <v>10.4199</v>
      </c>
      <c r="F158" s="52">
        <v>0</v>
      </c>
      <c r="G158" s="52">
        <f>10.4199</f>
        <v>10.4199</v>
      </c>
      <c r="H158" s="52">
        <v>0</v>
      </c>
      <c r="I158" s="63">
        <v>0</v>
      </c>
      <c r="J158" s="67">
        <v>100</v>
      </c>
      <c r="K158" s="67"/>
      <c r="L158" s="67"/>
      <c r="M158" s="67"/>
      <c r="N158" s="67"/>
      <c r="O158" s="67"/>
      <c r="P158" s="67"/>
      <c r="Q158" s="67"/>
    </row>
    <row r="159" spans="1:17" ht="15">
      <c r="A159" s="78"/>
      <c r="B159" s="79"/>
      <c r="C159" s="80"/>
      <c r="D159" s="32">
        <v>2021</v>
      </c>
      <c r="E159" s="52">
        <f t="shared" si="29"/>
        <v>10.4199</v>
      </c>
      <c r="F159" s="52">
        <v>0</v>
      </c>
      <c r="G159" s="52">
        <v>10.4199</v>
      </c>
      <c r="H159" s="52">
        <v>0</v>
      </c>
      <c r="I159" s="63">
        <v>0</v>
      </c>
      <c r="J159" s="67">
        <v>100</v>
      </c>
      <c r="K159" s="67"/>
      <c r="L159" s="67"/>
      <c r="M159" s="67"/>
      <c r="N159" s="67"/>
      <c r="O159" s="67"/>
      <c r="P159" s="67"/>
      <c r="Q159" s="67"/>
    </row>
    <row r="160" spans="1:17" ht="15">
      <c r="A160" s="78"/>
      <c r="B160" s="79"/>
      <c r="C160" s="80"/>
      <c r="D160" s="32">
        <v>2022</v>
      </c>
      <c r="E160" s="52">
        <f t="shared" si="29"/>
        <v>10.4199</v>
      </c>
      <c r="F160" s="52">
        <v>0</v>
      </c>
      <c r="G160" s="52">
        <v>10.4199</v>
      </c>
      <c r="H160" s="52">
        <v>0</v>
      </c>
      <c r="I160" s="63">
        <v>0</v>
      </c>
      <c r="J160" s="67">
        <v>100</v>
      </c>
      <c r="K160" s="67"/>
      <c r="L160" s="67"/>
      <c r="M160" s="67"/>
      <c r="N160" s="67"/>
      <c r="O160" s="67"/>
      <c r="P160" s="67"/>
      <c r="Q160" s="67"/>
    </row>
    <row r="161" spans="1:17" ht="15">
      <c r="A161" s="78"/>
      <c r="B161" s="79"/>
      <c r="C161" s="80"/>
      <c r="D161" s="32">
        <v>2023</v>
      </c>
      <c r="E161" s="52">
        <f t="shared" si="29"/>
        <v>10.5266</v>
      </c>
      <c r="F161" s="52">
        <v>0</v>
      </c>
      <c r="G161" s="52">
        <v>10.5266</v>
      </c>
      <c r="H161" s="52">
        <v>0</v>
      </c>
      <c r="I161" s="63">
        <v>0</v>
      </c>
      <c r="J161" s="67">
        <v>100</v>
      </c>
      <c r="K161" s="67"/>
      <c r="L161" s="67"/>
      <c r="M161" s="67"/>
      <c r="N161" s="67"/>
      <c r="O161" s="67"/>
      <c r="P161" s="67"/>
      <c r="Q161" s="67"/>
    </row>
    <row r="162" spans="1:17" ht="15">
      <c r="A162" s="78"/>
      <c r="B162" s="79"/>
      <c r="C162" s="80"/>
      <c r="D162" s="32">
        <v>2024</v>
      </c>
      <c r="E162" s="52">
        <f t="shared" si="29"/>
        <v>10.5266</v>
      </c>
      <c r="F162" s="52">
        <v>0</v>
      </c>
      <c r="G162" s="52">
        <v>10.5266</v>
      </c>
      <c r="H162" s="52">
        <v>0</v>
      </c>
      <c r="I162" s="63">
        <v>0</v>
      </c>
      <c r="J162" s="67">
        <v>100</v>
      </c>
      <c r="K162" s="67"/>
      <c r="L162" s="67"/>
      <c r="M162" s="67"/>
      <c r="N162" s="67"/>
      <c r="O162" s="67"/>
      <c r="P162" s="67"/>
      <c r="Q162" s="67"/>
    </row>
    <row r="163" spans="1:17" ht="15">
      <c r="A163" s="78"/>
      <c r="B163" s="79"/>
      <c r="C163" s="80"/>
      <c r="D163" s="32">
        <v>2025</v>
      </c>
      <c r="E163" s="52">
        <f t="shared" si="29"/>
        <v>10.5266</v>
      </c>
      <c r="F163" s="52">
        <v>0</v>
      </c>
      <c r="G163" s="52">
        <v>10.5266</v>
      </c>
      <c r="H163" s="52">
        <v>0</v>
      </c>
      <c r="I163" s="63">
        <v>0</v>
      </c>
      <c r="J163" s="67">
        <v>100</v>
      </c>
      <c r="K163" s="67"/>
      <c r="L163" s="67"/>
      <c r="M163" s="67"/>
      <c r="N163" s="67"/>
      <c r="O163" s="67"/>
      <c r="P163" s="67"/>
      <c r="Q163" s="67"/>
    </row>
    <row r="164" spans="1:17" ht="36" customHeight="1">
      <c r="A164" s="78"/>
      <c r="B164" s="79"/>
      <c r="C164" s="80"/>
      <c r="D164" s="32">
        <v>2026</v>
      </c>
      <c r="E164" s="52">
        <f t="shared" si="29"/>
        <v>10.5266</v>
      </c>
      <c r="F164" s="52">
        <v>0</v>
      </c>
      <c r="G164" s="52">
        <v>10.5266</v>
      </c>
      <c r="H164" s="52">
        <v>0</v>
      </c>
      <c r="I164" s="63">
        <v>0</v>
      </c>
      <c r="J164" s="67">
        <v>100</v>
      </c>
      <c r="K164" s="67"/>
      <c r="L164" s="67"/>
      <c r="M164" s="67"/>
      <c r="N164" s="67"/>
      <c r="O164" s="67"/>
      <c r="P164" s="67"/>
      <c r="Q164" s="67"/>
    </row>
    <row r="165" spans="1:17" ht="93.75" customHeight="1">
      <c r="A165" s="78" t="s">
        <v>218</v>
      </c>
      <c r="B165" s="79" t="s">
        <v>217</v>
      </c>
      <c r="C165" s="80" t="s">
        <v>186</v>
      </c>
      <c r="D165" s="35" t="s">
        <v>19</v>
      </c>
      <c r="E165" s="52">
        <f>SUM(E166:E172)</f>
        <v>26.0969</v>
      </c>
      <c r="F165" s="52">
        <f>SUM(F166:F172)</f>
        <v>26.0969</v>
      </c>
      <c r="G165" s="52">
        <f>SUM(G166:G172)</f>
        <v>0</v>
      </c>
      <c r="H165" s="52">
        <f>SUM(H166:H172)</f>
        <v>0</v>
      </c>
      <c r="I165" s="63">
        <f>SUM(I166:I172)</f>
        <v>0</v>
      </c>
      <c r="J165" s="66" t="s">
        <v>225</v>
      </c>
      <c r="K165" s="66"/>
      <c r="L165" s="66" t="s">
        <v>226</v>
      </c>
      <c r="M165" s="66"/>
      <c r="N165" s="66"/>
      <c r="O165" s="66" t="s">
        <v>227</v>
      </c>
      <c r="P165" s="66"/>
      <c r="Q165" s="66"/>
    </row>
    <row r="166" spans="1:17" ht="15">
      <c r="A166" s="78"/>
      <c r="B166" s="79"/>
      <c r="C166" s="80"/>
      <c r="D166" s="32">
        <v>2020</v>
      </c>
      <c r="E166" s="52">
        <f aca="true" t="shared" si="30" ref="E166:E172">F166+G166+H166+I166</f>
        <v>26.0969</v>
      </c>
      <c r="F166" s="52">
        <v>26.0969</v>
      </c>
      <c r="G166" s="52">
        <v>0</v>
      </c>
      <c r="H166" s="52">
        <v>0</v>
      </c>
      <c r="I166" s="63">
        <v>0</v>
      </c>
      <c r="J166" s="67">
        <v>11</v>
      </c>
      <c r="K166" s="67"/>
      <c r="L166" s="67">
        <v>109</v>
      </c>
      <c r="M166" s="67"/>
      <c r="N166" s="67"/>
      <c r="O166" s="67">
        <v>6</v>
      </c>
      <c r="P166" s="67"/>
      <c r="Q166" s="67"/>
    </row>
    <row r="167" spans="1:17" ht="15">
      <c r="A167" s="78"/>
      <c r="B167" s="79"/>
      <c r="C167" s="80"/>
      <c r="D167" s="32">
        <v>2021</v>
      </c>
      <c r="E167" s="52">
        <f t="shared" si="30"/>
        <v>0</v>
      </c>
      <c r="F167" s="52">
        <v>0</v>
      </c>
      <c r="G167" s="52">
        <v>0</v>
      </c>
      <c r="H167" s="52">
        <v>0</v>
      </c>
      <c r="I167" s="63">
        <v>0</v>
      </c>
      <c r="J167" s="68" t="s">
        <v>126</v>
      </c>
      <c r="K167" s="68"/>
      <c r="L167" s="68" t="s">
        <v>126</v>
      </c>
      <c r="M167" s="68"/>
      <c r="N167" s="68"/>
      <c r="O167" s="68" t="s">
        <v>126</v>
      </c>
      <c r="P167" s="68"/>
      <c r="Q167" s="68"/>
    </row>
    <row r="168" spans="1:17" ht="15">
      <c r="A168" s="78"/>
      <c r="B168" s="79"/>
      <c r="C168" s="80"/>
      <c r="D168" s="32">
        <v>2022</v>
      </c>
      <c r="E168" s="52">
        <f t="shared" si="30"/>
        <v>0</v>
      </c>
      <c r="F168" s="52">
        <v>0</v>
      </c>
      <c r="G168" s="52">
        <v>0</v>
      </c>
      <c r="H168" s="52">
        <v>0</v>
      </c>
      <c r="I168" s="63">
        <v>0</v>
      </c>
      <c r="J168" s="68" t="s">
        <v>126</v>
      </c>
      <c r="K168" s="68"/>
      <c r="L168" s="68" t="s">
        <v>126</v>
      </c>
      <c r="M168" s="68"/>
      <c r="N168" s="68"/>
      <c r="O168" s="68" t="s">
        <v>126</v>
      </c>
      <c r="P168" s="68"/>
      <c r="Q168" s="68"/>
    </row>
    <row r="169" spans="1:17" ht="15">
      <c r="A169" s="78"/>
      <c r="B169" s="79"/>
      <c r="C169" s="80"/>
      <c r="D169" s="32">
        <v>2023</v>
      </c>
      <c r="E169" s="52">
        <f t="shared" si="30"/>
        <v>0</v>
      </c>
      <c r="F169" s="52">
        <v>0</v>
      </c>
      <c r="G169" s="52">
        <v>0</v>
      </c>
      <c r="H169" s="52">
        <v>0</v>
      </c>
      <c r="I169" s="63">
        <v>0</v>
      </c>
      <c r="J169" s="68" t="s">
        <v>126</v>
      </c>
      <c r="K169" s="68"/>
      <c r="L169" s="68" t="s">
        <v>126</v>
      </c>
      <c r="M169" s="68"/>
      <c r="N169" s="68"/>
      <c r="O169" s="68" t="s">
        <v>126</v>
      </c>
      <c r="P169" s="68"/>
      <c r="Q169" s="68"/>
    </row>
    <row r="170" spans="1:17" ht="15">
      <c r="A170" s="78"/>
      <c r="B170" s="79"/>
      <c r="C170" s="80"/>
      <c r="D170" s="32">
        <v>2024</v>
      </c>
      <c r="E170" s="52">
        <f t="shared" si="30"/>
        <v>0</v>
      </c>
      <c r="F170" s="52">
        <v>0</v>
      </c>
      <c r="G170" s="52">
        <v>0</v>
      </c>
      <c r="H170" s="52">
        <v>0</v>
      </c>
      <c r="I170" s="63">
        <v>0</v>
      </c>
      <c r="J170" s="68" t="s">
        <v>126</v>
      </c>
      <c r="K170" s="68"/>
      <c r="L170" s="68" t="s">
        <v>126</v>
      </c>
      <c r="M170" s="68"/>
      <c r="N170" s="68"/>
      <c r="O170" s="68" t="s">
        <v>126</v>
      </c>
      <c r="P170" s="68"/>
      <c r="Q170" s="68"/>
    </row>
    <row r="171" spans="1:17" ht="15">
      <c r="A171" s="78"/>
      <c r="B171" s="79"/>
      <c r="C171" s="80"/>
      <c r="D171" s="32">
        <v>2025</v>
      </c>
      <c r="E171" s="52">
        <f t="shared" si="30"/>
        <v>0</v>
      </c>
      <c r="F171" s="52">
        <v>0</v>
      </c>
      <c r="G171" s="52">
        <v>0</v>
      </c>
      <c r="H171" s="52">
        <v>0</v>
      </c>
      <c r="I171" s="63">
        <v>0</v>
      </c>
      <c r="J171" s="68" t="s">
        <v>126</v>
      </c>
      <c r="K171" s="68"/>
      <c r="L171" s="68" t="s">
        <v>126</v>
      </c>
      <c r="M171" s="68"/>
      <c r="N171" s="68"/>
      <c r="O171" s="68" t="s">
        <v>126</v>
      </c>
      <c r="P171" s="68"/>
      <c r="Q171" s="68"/>
    </row>
    <row r="172" spans="1:17" ht="36" customHeight="1">
      <c r="A172" s="78"/>
      <c r="B172" s="79"/>
      <c r="C172" s="80"/>
      <c r="D172" s="32">
        <v>2026</v>
      </c>
      <c r="E172" s="52">
        <f t="shared" si="30"/>
        <v>0</v>
      </c>
      <c r="F172" s="52">
        <v>0</v>
      </c>
      <c r="G172" s="52">
        <v>0</v>
      </c>
      <c r="H172" s="52">
        <v>0</v>
      </c>
      <c r="I172" s="63">
        <v>0</v>
      </c>
      <c r="J172" s="68" t="s">
        <v>126</v>
      </c>
      <c r="K172" s="68"/>
      <c r="L172" s="68" t="s">
        <v>126</v>
      </c>
      <c r="M172" s="68"/>
      <c r="N172" s="68"/>
      <c r="O172" s="68" t="s">
        <v>126</v>
      </c>
      <c r="P172" s="68"/>
      <c r="Q172" s="68"/>
    </row>
    <row r="173" spans="1:17" ht="55.5" customHeight="1">
      <c r="A173" s="78" t="s">
        <v>219</v>
      </c>
      <c r="B173" s="79" t="s">
        <v>220</v>
      </c>
      <c r="C173" s="80" t="s">
        <v>186</v>
      </c>
      <c r="D173" s="35" t="s">
        <v>19</v>
      </c>
      <c r="E173" s="58">
        <f>SUM(E174:E180)</f>
        <v>1.16970125</v>
      </c>
      <c r="F173" s="52">
        <f>SUM(F174:F180)</f>
        <v>0</v>
      </c>
      <c r="G173" s="58">
        <f>SUM(G174:G180)</f>
        <v>0.09357625</v>
      </c>
      <c r="H173" s="58">
        <f>SUM(H174:H180)</f>
        <v>1.076125</v>
      </c>
      <c r="I173" s="63">
        <f>SUM(I174:I180)</f>
        <v>0</v>
      </c>
      <c r="J173" s="66" t="s">
        <v>228</v>
      </c>
      <c r="K173" s="66"/>
      <c r="L173" s="66"/>
      <c r="M173" s="66"/>
      <c r="N173" s="66"/>
      <c r="O173" s="66"/>
      <c r="P173" s="66"/>
      <c r="Q173" s="66"/>
    </row>
    <row r="174" spans="1:17" ht="15">
      <c r="A174" s="78"/>
      <c r="B174" s="79"/>
      <c r="C174" s="80"/>
      <c r="D174" s="32">
        <v>2020</v>
      </c>
      <c r="E174" s="58">
        <f aca="true" t="shared" si="31" ref="E174:E180">F174+G174+H174+I174</f>
        <v>1.16970125</v>
      </c>
      <c r="F174" s="52">
        <v>0</v>
      </c>
      <c r="G174" s="58">
        <f>0.0936-0.00002375</f>
        <v>0.09357625</v>
      </c>
      <c r="H174" s="58">
        <f>1.0761+0.000025</f>
        <v>1.076125</v>
      </c>
      <c r="I174" s="63">
        <v>0</v>
      </c>
      <c r="J174" s="82">
        <v>27.8</v>
      </c>
      <c r="K174" s="82"/>
      <c r="L174" s="82"/>
      <c r="M174" s="82"/>
      <c r="N174" s="82"/>
      <c r="O174" s="82"/>
      <c r="P174" s="82"/>
      <c r="Q174" s="82"/>
    </row>
    <row r="175" spans="1:17" ht="15">
      <c r="A175" s="78"/>
      <c r="B175" s="79"/>
      <c r="C175" s="80"/>
      <c r="D175" s="32">
        <v>2021</v>
      </c>
      <c r="E175" s="52">
        <f t="shared" si="31"/>
        <v>0</v>
      </c>
      <c r="F175" s="52">
        <v>0</v>
      </c>
      <c r="G175" s="52">
        <v>0</v>
      </c>
      <c r="H175" s="57">
        <v>0</v>
      </c>
      <c r="I175" s="63">
        <v>0</v>
      </c>
      <c r="J175" s="66" t="s">
        <v>126</v>
      </c>
      <c r="K175" s="66"/>
      <c r="L175" s="66"/>
      <c r="M175" s="66"/>
      <c r="N175" s="66"/>
      <c r="O175" s="66"/>
      <c r="P175" s="66"/>
      <c r="Q175" s="66"/>
    </row>
    <row r="176" spans="1:17" ht="15">
      <c r="A176" s="78"/>
      <c r="B176" s="79"/>
      <c r="C176" s="80"/>
      <c r="D176" s="32">
        <v>2022</v>
      </c>
      <c r="E176" s="52">
        <f t="shared" si="31"/>
        <v>0</v>
      </c>
      <c r="F176" s="52">
        <v>0</v>
      </c>
      <c r="G176" s="52">
        <v>0</v>
      </c>
      <c r="H176" s="57">
        <v>0</v>
      </c>
      <c r="I176" s="63">
        <v>0</v>
      </c>
      <c r="J176" s="66" t="s">
        <v>126</v>
      </c>
      <c r="K176" s="66"/>
      <c r="L176" s="66"/>
      <c r="M176" s="66"/>
      <c r="N176" s="66"/>
      <c r="O176" s="66"/>
      <c r="P176" s="66"/>
      <c r="Q176" s="66"/>
    </row>
    <row r="177" spans="1:17" ht="15">
      <c r="A177" s="78"/>
      <c r="B177" s="79"/>
      <c r="C177" s="80"/>
      <c r="D177" s="32">
        <v>2023</v>
      </c>
      <c r="E177" s="52">
        <f t="shared" si="31"/>
        <v>0</v>
      </c>
      <c r="F177" s="52">
        <v>0</v>
      </c>
      <c r="G177" s="52">
        <v>0</v>
      </c>
      <c r="H177" s="57">
        <v>0</v>
      </c>
      <c r="I177" s="63">
        <v>0</v>
      </c>
      <c r="J177" s="66" t="s">
        <v>126</v>
      </c>
      <c r="K177" s="66"/>
      <c r="L177" s="66"/>
      <c r="M177" s="66"/>
      <c r="N177" s="66"/>
      <c r="O177" s="66"/>
      <c r="P177" s="66"/>
      <c r="Q177" s="66"/>
    </row>
    <row r="178" spans="1:17" ht="15">
      <c r="A178" s="78"/>
      <c r="B178" s="79"/>
      <c r="C178" s="80"/>
      <c r="D178" s="32">
        <v>2024</v>
      </c>
      <c r="E178" s="52">
        <f t="shared" si="31"/>
        <v>0</v>
      </c>
      <c r="F178" s="52">
        <v>0</v>
      </c>
      <c r="G178" s="52">
        <v>0</v>
      </c>
      <c r="H178" s="57">
        <v>0</v>
      </c>
      <c r="I178" s="63">
        <v>0</v>
      </c>
      <c r="J178" s="66" t="s">
        <v>126</v>
      </c>
      <c r="K178" s="66"/>
      <c r="L178" s="66"/>
      <c r="M178" s="66"/>
      <c r="N178" s="66"/>
      <c r="O178" s="66"/>
      <c r="P178" s="66"/>
      <c r="Q178" s="66"/>
    </row>
    <row r="179" spans="1:17" ht="15">
      <c r="A179" s="78"/>
      <c r="B179" s="79"/>
      <c r="C179" s="80"/>
      <c r="D179" s="32">
        <v>2025</v>
      </c>
      <c r="E179" s="52">
        <f t="shared" si="31"/>
        <v>0</v>
      </c>
      <c r="F179" s="52">
        <v>0</v>
      </c>
      <c r="G179" s="52">
        <v>0</v>
      </c>
      <c r="H179" s="57">
        <v>0</v>
      </c>
      <c r="I179" s="63">
        <v>0</v>
      </c>
      <c r="J179" s="66" t="s">
        <v>126</v>
      </c>
      <c r="K179" s="66"/>
      <c r="L179" s="66"/>
      <c r="M179" s="66"/>
      <c r="N179" s="66"/>
      <c r="O179" s="66"/>
      <c r="P179" s="66"/>
      <c r="Q179" s="66"/>
    </row>
    <row r="180" spans="1:17" ht="36" customHeight="1">
      <c r="A180" s="78"/>
      <c r="B180" s="79"/>
      <c r="C180" s="80"/>
      <c r="D180" s="32">
        <v>2026</v>
      </c>
      <c r="E180" s="52">
        <f t="shared" si="31"/>
        <v>0</v>
      </c>
      <c r="F180" s="52">
        <v>0</v>
      </c>
      <c r="G180" s="52">
        <v>0</v>
      </c>
      <c r="H180" s="57">
        <v>0</v>
      </c>
      <c r="I180" s="63">
        <v>0</v>
      </c>
      <c r="J180" s="66" t="s">
        <v>126</v>
      </c>
      <c r="K180" s="66"/>
      <c r="L180" s="66"/>
      <c r="M180" s="66"/>
      <c r="N180" s="66"/>
      <c r="O180" s="66"/>
      <c r="P180" s="66"/>
      <c r="Q180" s="66"/>
    </row>
    <row r="181" spans="1:17" ht="55.5" customHeight="1">
      <c r="A181" s="78" t="s">
        <v>221</v>
      </c>
      <c r="B181" s="79" t="s">
        <v>224</v>
      </c>
      <c r="C181" s="80" t="s">
        <v>186</v>
      </c>
      <c r="D181" s="35" t="s">
        <v>19</v>
      </c>
      <c r="E181" s="52">
        <f>SUM(E182:E188)</f>
        <v>15</v>
      </c>
      <c r="F181" s="52">
        <f>SUM(F182:F188)</f>
        <v>0</v>
      </c>
      <c r="G181" s="52">
        <f>SUM(G182:G188)</f>
        <v>15</v>
      </c>
      <c r="H181" s="57">
        <f>SUM(H182:H188)</f>
        <v>0</v>
      </c>
      <c r="I181" s="63">
        <f>SUM(I182:I188)</f>
        <v>0</v>
      </c>
      <c r="J181" s="81" t="s">
        <v>229</v>
      </c>
      <c r="K181" s="81"/>
      <c r="L181" s="81"/>
      <c r="M181" s="81"/>
      <c r="N181" s="81"/>
      <c r="O181" s="81"/>
      <c r="P181" s="81"/>
      <c r="Q181" s="81"/>
    </row>
    <row r="182" spans="1:17" ht="15">
      <c r="A182" s="78"/>
      <c r="B182" s="79"/>
      <c r="C182" s="80"/>
      <c r="D182" s="32">
        <v>2020</v>
      </c>
      <c r="E182" s="52">
        <f aca="true" t="shared" si="32" ref="E182:E188">F182+G182+H182+I182</f>
        <v>5</v>
      </c>
      <c r="F182" s="52">
        <v>0</v>
      </c>
      <c r="G182" s="52">
        <v>5</v>
      </c>
      <c r="H182" s="57">
        <v>0</v>
      </c>
      <c r="I182" s="63">
        <v>0</v>
      </c>
      <c r="J182" s="67">
        <v>100</v>
      </c>
      <c r="K182" s="67"/>
      <c r="L182" s="67"/>
      <c r="M182" s="67"/>
      <c r="N182" s="67"/>
      <c r="O182" s="67"/>
      <c r="P182" s="67"/>
      <c r="Q182" s="67"/>
    </row>
    <row r="183" spans="1:17" ht="15">
      <c r="A183" s="78"/>
      <c r="B183" s="79"/>
      <c r="C183" s="80"/>
      <c r="D183" s="32">
        <v>2021</v>
      </c>
      <c r="E183" s="52">
        <f t="shared" si="32"/>
        <v>5</v>
      </c>
      <c r="F183" s="52">
        <v>0</v>
      </c>
      <c r="G183" s="52">
        <v>5</v>
      </c>
      <c r="H183" s="57">
        <v>0</v>
      </c>
      <c r="I183" s="63">
        <v>0</v>
      </c>
      <c r="J183" s="67">
        <v>100</v>
      </c>
      <c r="K183" s="67"/>
      <c r="L183" s="67"/>
      <c r="M183" s="67"/>
      <c r="N183" s="67"/>
      <c r="O183" s="67"/>
      <c r="P183" s="67"/>
      <c r="Q183" s="67"/>
    </row>
    <row r="184" spans="1:17" ht="15">
      <c r="A184" s="78"/>
      <c r="B184" s="79"/>
      <c r="C184" s="80"/>
      <c r="D184" s="32">
        <v>2022</v>
      </c>
      <c r="E184" s="52">
        <f t="shared" si="32"/>
        <v>5</v>
      </c>
      <c r="F184" s="52">
        <v>0</v>
      </c>
      <c r="G184" s="52">
        <v>5</v>
      </c>
      <c r="H184" s="57">
        <v>0</v>
      </c>
      <c r="I184" s="63">
        <v>0</v>
      </c>
      <c r="J184" s="67">
        <v>100</v>
      </c>
      <c r="K184" s="67"/>
      <c r="L184" s="67"/>
      <c r="M184" s="67"/>
      <c r="N184" s="67"/>
      <c r="O184" s="67"/>
      <c r="P184" s="67"/>
      <c r="Q184" s="67"/>
    </row>
    <row r="185" spans="1:17" ht="15">
      <c r="A185" s="78"/>
      <c r="B185" s="79"/>
      <c r="C185" s="80"/>
      <c r="D185" s="32">
        <v>2023</v>
      </c>
      <c r="E185" s="52">
        <f t="shared" si="32"/>
        <v>0</v>
      </c>
      <c r="F185" s="52">
        <v>0</v>
      </c>
      <c r="G185" s="52">
        <v>0</v>
      </c>
      <c r="H185" s="57">
        <v>0</v>
      </c>
      <c r="I185" s="63">
        <v>0</v>
      </c>
      <c r="J185" s="66" t="s">
        <v>126</v>
      </c>
      <c r="K185" s="66"/>
      <c r="L185" s="66"/>
      <c r="M185" s="66"/>
      <c r="N185" s="66"/>
      <c r="O185" s="66"/>
      <c r="P185" s="66"/>
      <c r="Q185" s="66"/>
    </row>
    <row r="186" spans="1:17" ht="15">
      <c r="A186" s="78"/>
      <c r="B186" s="79"/>
      <c r="C186" s="80"/>
      <c r="D186" s="32">
        <v>2024</v>
      </c>
      <c r="E186" s="52">
        <f t="shared" si="32"/>
        <v>0</v>
      </c>
      <c r="F186" s="52">
        <v>0</v>
      </c>
      <c r="G186" s="52">
        <v>0</v>
      </c>
      <c r="H186" s="57">
        <v>0</v>
      </c>
      <c r="I186" s="63">
        <v>0</v>
      </c>
      <c r="J186" s="66" t="s">
        <v>126</v>
      </c>
      <c r="K186" s="66"/>
      <c r="L186" s="66"/>
      <c r="M186" s="66"/>
      <c r="N186" s="66"/>
      <c r="O186" s="66"/>
      <c r="P186" s="66"/>
      <c r="Q186" s="66"/>
    </row>
    <row r="187" spans="1:17" ht="15">
      <c r="A187" s="78"/>
      <c r="B187" s="79"/>
      <c r="C187" s="80"/>
      <c r="D187" s="32">
        <v>2025</v>
      </c>
      <c r="E187" s="52">
        <f t="shared" si="32"/>
        <v>0</v>
      </c>
      <c r="F187" s="52">
        <v>0</v>
      </c>
      <c r="G187" s="52">
        <v>0</v>
      </c>
      <c r="H187" s="57">
        <v>0</v>
      </c>
      <c r="I187" s="63">
        <v>0</v>
      </c>
      <c r="J187" s="66" t="s">
        <v>126</v>
      </c>
      <c r="K187" s="66"/>
      <c r="L187" s="66"/>
      <c r="M187" s="66"/>
      <c r="N187" s="66"/>
      <c r="O187" s="66"/>
      <c r="P187" s="66"/>
      <c r="Q187" s="66"/>
    </row>
    <row r="188" spans="1:17" ht="36" customHeight="1">
      <c r="A188" s="78"/>
      <c r="B188" s="79"/>
      <c r="C188" s="80"/>
      <c r="D188" s="32">
        <v>2026</v>
      </c>
      <c r="E188" s="52">
        <f t="shared" si="32"/>
        <v>0</v>
      </c>
      <c r="F188" s="52">
        <v>0</v>
      </c>
      <c r="G188" s="52">
        <v>0</v>
      </c>
      <c r="H188" s="57">
        <v>0</v>
      </c>
      <c r="I188" s="63">
        <v>0</v>
      </c>
      <c r="J188" s="66" t="s">
        <v>126</v>
      </c>
      <c r="K188" s="66"/>
      <c r="L188" s="66"/>
      <c r="M188" s="66"/>
      <c r="N188" s="66"/>
      <c r="O188" s="66"/>
      <c r="P188" s="66"/>
      <c r="Q188" s="66"/>
    </row>
    <row r="189" spans="1:17" ht="55.5" customHeight="1">
      <c r="A189" s="78" t="s">
        <v>222</v>
      </c>
      <c r="B189" s="79" t="s">
        <v>223</v>
      </c>
      <c r="C189" s="80" t="s">
        <v>186</v>
      </c>
      <c r="D189" s="35" t="s">
        <v>19</v>
      </c>
      <c r="E189" s="52">
        <f>SUM(E190:E196)</f>
        <v>10.4</v>
      </c>
      <c r="F189" s="52">
        <f>SUM(F190:F196)</f>
        <v>2.08</v>
      </c>
      <c r="G189" s="52">
        <f>SUM(G190:G196)</f>
        <v>8.32</v>
      </c>
      <c r="H189" s="57">
        <f>SUM(H190:H196)</f>
        <v>0</v>
      </c>
      <c r="I189" s="63">
        <f>SUM(I190:I196)</f>
        <v>0</v>
      </c>
      <c r="J189" s="66" t="s">
        <v>171</v>
      </c>
      <c r="K189" s="66"/>
      <c r="L189" s="66"/>
      <c r="M189" s="66"/>
      <c r="N189" s="66"/>
      <c r="O189" s="66"/>
      <c r="P189" s="66"/>
      <c r="Q189" s="66"/>
    </row>
    <row r="190" spans="1:17" ht="15">
      <c r="A190" s="78"/>
      <c r="B190" s="79"/>
      <c r="C190" s="80"/>
      <c r="D190" s="32">
        <v>2020</v>
      </c>
      <c r="E190" s="52">
        <f aca="true" t="shared" si="33" ref="E190:E196">F190+G190+H190+I190</f>
        <v>2.4</v>
      </c>
      <c r="F190" s="52">
        <v>0.48</v>
      </c>
      <c r="G190" s="52">
        <v>1.92</v>
      </c>
      <c r="H190" s="57">
        <v>0</v>
      </c>
      <c r="I190" s="63">
        <v>0</v>
      </c>
      <c r="J190" s="67" t="str">
        <f>J22</f>
        <v>25,5(*0,51)</v>
      </c>
      <c r="K190" s="67"/>
      <c r="L190" s="67"/>
      <c r="M190" s="67"/>
      <c r="N190" s="67"/>
      <c r="O190" s="67"/>
      <c r="P190" s="67"/>
      <c r="Q190" s="67"/>
    </row>
    <row r="191" spans="1:17" ht="15">
      <c r="A191" s="78"/>
      <c r="B191" s="79"/>
      <c r="C191" s="80"/>
      <c r="D191" s="32">
        <v>2021</v>
      </c>
      <c r="E191" s="52">
        <f t="shared" si="33"/>
        <v>8</v>
      </c>
      <c r="F191" s="52">
        <v>1.6</v>
      </c>
      <c r="G191" s="52">
        <v>6.4</v>
      </c>
      <c r="H191" s="57">
        <v>0</v>
      </c>
      <c r="I191" s="63">
        <v>0</v>
      </c>
      <c r="J191" s="67" t="str">
        <f>J23</f>
        <v>25,5(*0)</v>
      </c>
      <c r="K191" s="67"/>
      <c r="L191" s="67"/>
      <c r="M191" s="67"/>
      <c r="N191" s="67"/>
      <c r="O191" s="67"/>
      <c r="P191" s="67"/>
      <c r="Q191" s="67"/>
    </row>
    <row r="192" spans="1:17" ht="15">
      <c r="A192" s="78"/>
      <c r="B192" s="79"/>
      <c r="C192" s="80"/>
      <c r="D192" s="32">
        <v>2022</v>
      </c>
      <c r="E192" s="52">
        <f t="shared" si="33"/>
        <v>0</v>
      </c>
      <c r="F192" s="52">
        <v>0</v>
      </c>
      <c r="G192" s="52">
        <v>0</v>
      </c>
      <c r="H192" s="57">
        <v>0</v>
      </c>
      <c r="I192" s="63">
        <v>0</v>
      </c>
      <c r="J192" s="67" t="s">
        <v>126</v>
      </c>
      <c r="K192" s="67"/>
      <c r="L192" s="67"/>
      <c r="M192" s="67"/>
      <c r="N192" s="67"/>
      <c r="O192" s="67"/>
      <c r="P192" s="67"/>
      <c r="Q192" s="67"/>
    </row>
    <row r="193" spans="1:17" ht="15">
      <c r="A193" s="78"/>
      <c r="B193" s="79"/>
      <c r="C193" s="80"/>
      <c r="D193" s="32">
        <v>2023</v>
      </c>
      <c r="E193" s="52">
        <f t="shared" si="33"/>
        <v>0</v>
      </c>
      <c r="F193" s="52">
        <v>0</v>
      </c>
      <c r="G193" s="52">
        <v>0</v>
      </c>
      <c r="H193" s="57">
        <v>0</v>
      </c>
      <c r="I193" s="63">
        <v>0</v>
      </c>
      <c r="J193" s="67" t="s">
        <v>126</v>
      </c>
      <c r="K193" s="67"/>
      <c r="L193" s="67"/>
      <c r="M193" s="67"/>
      <c r="N193" s="67"/>
      <c r="O193" s="67"/>
      <c r="P193" s="67"/>
      <c r="Q193" s="67"/>
    </row>
    <row r="194" spans="1:17" ht="15">
      <c r="A194" s="78"/>
      <c r="B194" s="79"/>
      <c r="C194" s="80"/>
      <c r="D194" s="32">
        <v>2024</v>
      </c>
      <c r="E194" s="52">
        <f t="shared" si="33"/>
        <v>0</v>
      </c>
      <c r="F194" s="52">
        <v>0</v>
      </c>
      <c r="G194" s="52">
        <v>0</v>
      </c>
      <c r="H194" s="57">
        <v>0</v>
      </c>
      <c r="I194" s="63">
        <v>0</v>
      </c>
      <c r="J194" s="67" t="s">
        <v>126</v>
      </c>
      <c r="K194" s="67"/>
      <c r="L194" s="67"/>
      <c r="M194" s="67"/>
      <c r="N194" s="67"/>
      <c r="O194" s="67"/>
      <c r="P194" s="67"/>
      <c r="Q194" s="67"/>
    </row>
    <row r="195" spans="1:17" ht="15">
      <c r="A195" s="78"/>
      <c r="B195" s="79"/>
      <c r="C195" s="80"/>
      <c r="D195" s="32">
        <v>2025</v>
      </c>
      <c r="E195" s="52">
        <f t="shared" si="33"/>
        <v>0</v>
      </c>
      <c r="F195" s="52">
        <v>0</v>
      </c>
      <c r="G195" s="52">
        <v>0</v>
      </c>
      <c r="H195" s="57">
        <v>0</v>
      </c>
      <c r="I195" s="63">
        <v>0</v>
      </c>
      <c r="J195" s="67" t="s">
        <v>126</v>
      </c>
      <c r="K195" s="67"/>
      <c r="L195" s="67"/>
      <c r="M195" s="67"/>
      <c r="N195" s="67"/>
      <c r="O195" s="67"/>
      <c r="P195" s="67"/>
      <c r="Q195" s="67"/>
    </row>
    <row r="196" spans="1:17" ht="36" customHeight="1">
      <c r="A196" s="78"/>
      <c r="B196" s="79"/>
      <c r="C196" s="80"/>
      <c r="D196" s="32">
        <v>2026</v>
      </c>
      <c r="E196" s="52">
        <f t="shared" si="33"/>
        <v>0</v>
      </c>
      <c r="F196" s="52">
        <v>0</v>
      </c>
      <c r="G196" s="52">
        <v>0</v>
      </c>
      <c r="H196" s="57">
        <v>0</v>
      </c>
      <c r="I196" s="63">
        <v>0</v>
      </c>
      <c r="J196" s="67" t="s">
        <v>126</v>
      </c>
      <c r="K196" s="67"/>
      <c r="L196" s="67"/>
      <c r="M196" s="67"/>
      <c r="N196" s="67"/>
      <c r="O196" s="67"/>
      <c r="P196" s="67"/>
      <c r="Q196" s="67"/>
    </row>
    <row r="197" spans="1:17" ht="27.75" customHeight="1">
      <c r="A197" s="78" t="s">
        <v>236</v>
      </c>
      <c r="B197" s="79" t="s">
        <v>237</v>
      </c>
      <c r="C197" s="80" t="s">
        <v>186</v>
      </c>
      <c r="D197" s="35" t="s">
        <v>19</v>
      </c>
      <c r="E197" s="52">
        <f>SUM(E198:E204)</f>
        <v>36.239999999999995</v>
      </c>
      <c r="F197" s="52">
        <f>SUM(F198:F204)</f>
        <v>36.239999999999995</v>
      </c>
      <c r="G197" s="52">
        <f>SUM(G198:G204)</f>
        <v>0</v>
      </c>
      <c r="H197" s="57">
        <f>SUM(H198:H204)</f>
        <v>0</v>
      </c>
      <c r="I197" s="63">
        <f>SUM(I198:I204)</f>
        <v>0</v>
      </c>
      <c r="J197" s="66" t="s">
        <v>238</v>
      </c>
      <c r="K197" s="66"/>
      <c r="L197" s="66"/>
      <c r="M197" s="66"/>
      <c r="N197" s="66"/>
      <c r="O197" s="66"/>
      <c r="P197" s="66"/>
      <c r="Q197" s="66"/>
    </row>
    <row r="198" spans="1:17" ht="15">
      <c r="A198" s="78"/>
      <c r="B198" s="79"/>
      <c r="C198" s="80"/>
      <c r="D198" s="32">
        <v>2020</v>
      </c>
      <c r="E198" s="52">
        <f aca="true" t="shared" si="34" ref="E198:E204">F198+G198+H198+I198</f>
        <v>36.239999999999995</v>
      </c>
      <c r="F198" s="52">
        <f>34.19+0.05+2</f>
        <v>36.239999999999995</v>
      </c>
      <c r="G198" s="52">
        <v>0</v>
      </c>
      <c r="H198" s="57">
        <v>0</v>
      </c>
      <c r="I198" s="63">
        <v>0</v>
      </c>
      <c r="J198" s="67">
        <v>95</v>
      </c>
      <c r="K198" s="67"/>
      <c r="L198" s="67"/>
      <c r="M198" s="67"/>
      <c r="N198" s="67"/>
      <c r="O198" s="67"/>
      <c r="P198" s="67"/>
      <c r="Q198" s="67"/>
    </row>
    <row r="199" spans="1:17" ht="15">
      <c r="A199" s="78"/>
      <c r="B199" s="79"/>
      <c r="C199" s="80"/>
      <c r="D199" s="32">
        <v>2021</v>
      </c>
      <c r="E199" s="52">
        <f t="shared" si="34"/>
        <v>0</v>
      </c>
      <c r="F199" s="52">
        <v>0</v>
      </c>
      <c r="G199" s="52">
        <v>0</v>
      </c>
      <c r="H199" s="57">
        <v>0</v>
      </c>
      <c r="I199" s="63">
        <v>0</v>
      </c>
      <c r="J199" s="67" t="s">
        <v>126</v>
      </c>
      <c r="K199" s="67"/>
      <c r="L199" s="67"/>
      <c r="M199" s="67"/>
      <c r="N199" s="67"/>
      <c r="O199" s="67"/>
      <c r="P199" s="67"/>
      <c r="Q199" s="67"/>
    </row>
    <row r="200" spans="1:17" ht="15">
      <c r="A200" s="78"/>
      <c r="B200" s="79"/>
      <c r="C200" s="80"/>
      <c r="D200" s="32">
        <v>2022</v>
      </c>
      <c r="E200" s="52">
        <f t="shared" si="34"/>
        <v>0</v>
      </c>
      <c r="F200" s="52">
        <v>0</v>
      </c>
      <c r="G200" s="52">
        <v>0</v>
      </c>
      <c r="H200" s="57">
        <v>0</v>
      </c>
      <c r="I200" s="63">
        <v>0</v>
      </c>
      <c r="J200" s="67" t="s">
        <v>126</v>
      </c>
      <c r="K200" s="67"/>
      <c r="L200" s="67"/>
      <c r="M200" s="67"/>
      <c r="N200" s="67"/>
      <c r="O200" s="67"/>
      <c r="P200" s="67"/>
      <c r="Q200" s="67"/>
    </row>
    <row r="201" spans="1:17" ht="15">
      <c r="A201" s="78"/>
      <c r="B201" s="79"/>
      <c r="C201" s="80"/>
      <c r="D201" s="32">
        <v>2023</v>
      </c>
      <c r="E201" s="52">
        <f t="shared" si="34"/>
        <v>0</v>
      </c>
      <c r="F201" s="52">
        <v>0</v>
      </c>
      <c r="G201" s="52">
        <v>0</v>
      </c>
      <c r="H201" s="57">
        <v>0</v>
      </c>
      <c r="I201" s="63">
        <v>0</v>
      </c>
      <c r="J201" s="67" t="s">
        <v>126</v>
      </c>
      <c r="K201" s="67"/>
      <c r="L201" s="67"/>
      <c r="M201" s="67"/>
      <c r="N201" s="67"/>
      <c r="O201" s="67"/>
      <c r="P201" s="67"/>
      <c r="Q201" s="67"/>
    </row>
    <row r="202" spans="1:17" ht="15">
      <c r="A202" s="78"/>
      <c r="B202" s="79"/>
      <c r="C202" s="80"/>
      <c r="D202" s="32">
        <v>2024</v>
      </c>
      <c r="E202" s="52">
        <f t="shared" si="34"/>
        <v>0</v>
      </c>
      <c r="F202" s="52">
        <v>0</v>
      </c>
      <c r="G202" s="52">
        <v>0</v>
      </c>
      <c r="H202" s="57">
        <v>0</v>
      </c>
      <c r="I202" s="63">
        <v>0</v>
      </c>
      <c r="J202" s="67" t="s">
        <v>126</v>
      </c>
      <c r="K202" s="67"/>
      <c r="L202" s="67"/>
      <c r="M202" s="67"/>
      <c r="N202" s="67"/>
      <c r="O202" s="67"/>
      <c r="P202" s="67"/>
      <c r="Q202" s="67"/>
    </row>
    <row r="203" spans="1:17" ht="15">
      <c r="A203" s="78"/>
      <c r="B203" s="79"/>
      <c r="C203" s="80"/>
      <c r="D203" s="32">
        <v>2025</v>
      </c>
      <c r="E203" s="52">
        <f t="shared" si="34"/>
        <v>0</v>
      </c>
      <c r="F203" s="52">
        <v>0</v>
      </c>
      <c r="G203" s="52">
        <v>0</v>
      </c>
      <c r="H203" s="57">
        <v>0</v>
      </c>
      <c r="I203" s="63">
        <v>0</v>
      </c>
      <c r="J203" s="67" t="s">
        <v>126</v>
      </c>
      <c r="K203" s="67"/>
      <c r="L203" s="67"/>
      <c r="M203" s="67"/>
      <c r="N203" s="67"/>
      <c r="O203" s="67"/>
      <c r="P203" s="67"/>
      <c r="Q203" s="67"/>
    </row>
    <row r="204" spans="1:17" ht="64.5" customHeight="1">
      <c r="A204" s="78"/>
      <c r="B204" s="79"/>
      <c r="C204" s="80"/>
      <c r="D204" s="32">
        <v>2026</v>
      </c>
      <c r="E204" s="52">
        <f t="shared" si="34"/>
        <v>0</v>
      </c>
      <c r="F204" s="52">
        <v>0</v>
      </c>
      <c r="G204" s="52">
        <v>0</v>
      </c>
      <c r="H204" s="57">
        <v>0</v>
      </c>
      <c r="I204" s="63">
        <v>0</v>
      </c>
      <c r="J204" s="67" t="s">
        <v>126</v>
      </c>
      <c r="K204" s="67"/>
      <c r="L204" s="67"/>
      <c r="M204" s="67"/>
      <c r="N204" s="67"/>
      <c r="O204" s="67"/>
      <c r="P204" s="67"/>
      <c r="Q204" s="67"/>
    </row>
    <row r="205" spans="1:17" ht="27.75" customHeight="1">
      <c r="A205" s="78" t="s">
        <v>239</v>
      </c>
      <c r="B205" s="79" t="s">
        <v>240</v>
      </c>
      <c r="C205" s="80" t="s">
        <v>23</v>
      </c>
      <c r="D205" s="35" t="s">
        <v>19</v>
      </c>
      <c r="E205" s="52">
        <f>SUM(E206:E212)</f>
        <v>0.9594</v>
      </c>
      <c r="F205" s="52">
        <f>SUM(F206:F212)</f>
        <v>0</v>
      </c>
      <c r="G205" s="52">
        <f>SUM(G206:G212)</f>
        <v>0.9594</v>
      </c>
      <c r="H205" s="57">
        <f>SUM(H206:H212)</f>
        <v>0</v>
      </c>
      <c r="I205" s="63">
        <f>SUM(I206:I212)</f>
        <v>0</v>
      </c>
      <c r="J205" s="108" t="s">
        <v>126</v>
      </c>
      <c r="K205" s="108"/>
      <c r="L205" s="108"/>
      <c r="M205" s="108"/>
      <c r="N205" s="108"/>
      <c r="O205" s="108"/>
      <c r="P205" s="108"/>
      <c r="Q205" s="108"/>
    </row>
    <row r="206" spans="1:17" ht="15">
      <c r="A206" s="78"/>
      <c r="B206" s="79"/>
      <c r="C206" s="80"/>
      <c r="D206" s="32">
        <v>2020</v>
      </c>
      <c r="E206" s="52">
        <f aca="true" t="shared" si="35" ref="E206:E212">F206+G206+H206+I206</f>
        <v>0.9594</v>
      </c>
      <c r="F206" s="52">
        <v>0</v>
      </c>
      <c r="G206" s="52">
        <v>0.9594</v>
      </c>
      <c r="H206" s="57">
        <v>0</v>
      </c>
      <c r="I206" s="63">
        <v>0</v>
      </c>
      <c r="J206" s="108"/>
      <c r="K206" s="108"/>
      <c r="L206" s="108"/>
      <c r="M206" s="108"/>
      <c r="N206" s="108"/>
      <c r="O206" s="108"/>
      <c r="P206" s="108"/>
      <c r="Q206" s="108"/>
    </row>
    <row r="207" spans="1:17" ht="15">
      <c r="A207" s="78"/>
      <c r="B207" s="79"/>
      <c r="C207" s="80"/>
      <c r="D207" s="32">
        <v>2021</v>
      </c>
      <c r="E207" s="52">
        <f t="shared" si="35"/>
        <v>0</v>
      </c>
      <c r="F207" s="52">
        <v>0</v>
      </c>
      <c r="G207" s="52">
        <v>0</v>
      </c>
      <c r="H207" s="57">
        <v>0</v>
      </c>
      <c r="I207" s="63">
        <v>0</v>
      </c>
      <c r="J207" s="108"/>
      <c r="K207" s="108"/>
      <c r="L207" s="108"/>
      <c r="M207" s="108"/>
      <c r="N207" s="108"/>
      <c r="O207" s="108"/>
      <c r="P207" s="108"/>
      <c r="Q207" s="108"/>
    </row>
    <row r="208" spans="1:17" ht="15">
      <c r="A208" s="78"/>
      <c r="B208" s="79"/>
      <c r="C208" s="80"/>
      <c r="D208" s="32">
        <v>2022</v>
      </c>
      <c r="E208" s="52">
        <f t="shared" si="35"/>
        <v>0</v>
      </c>
      <c r="F208" s="52">
        <v>0</v>
      </c>
      <c r="G208" s="52">
        <v>0</v>
      </c>
      <c r="H208" s="57">
        <v>0</v>
      </c>
      <c r="I208" s="63">
        <v>0</v>
      </c>
      <c r="J208" s="108"/>
      <c r="K208" s="108"/>
      <c r="L208" s="108"/>
      <c r="M208" s="108"/>
      <c r="N208" s="108"/>
      <c r="O208" s="108"/>
      <c r="P208" s="108"/>
      <c r="Q208" s="108"/>
    </row>
    <row r="209" spans="1:17" ht="15">
      <c r="A209" s="78"/>
      <c r="B209" s="79"/>
      <c r="C209" s="80"/>
      <c r="D209" s="32">
        <v>2023</v>
      </c>
      <c r="E209" s="52">
        <f t="shared" si="35"/>
        <v>0</v>
      </c>
      <c r="F209" s="52">
        <v>0</v>
      </c>
      <c r="G209" s="52">
        <v>0</v>
      </c>
      <c r="H209" s="57">
        <v>0</v>
      </c>
      <c r="I209" s="63">
        <v>0</v>
      </c>
      <c r="J209" s="108"/>
      <c r="K209" s="108"/>
      <c r="L209" s="108"/>
      <c r="M209" s="108"/>
      <c r="N209" s="108"/>
      <c r="O209" s="108"/>
      <c r="P209" s="108"/>
      <c r="Q209" s="108"/>
    </row>
    <row r="210" spans="1:17" ht="15">
      <c r="A210" s="78"/>
      <c r="B210" s="79"/>
      <c r="C210" s="80"/>
      <c r="D210" s="32">
        <v>2024</v>
      </c>
      <c r="E210" s="52">
        <f t="shared" si="35"/>
        <v>0</v>
      </c>
      <c r="F210" s="52">
        <v>0</v>
      </c>
      <c r="G210" s="52">
        <v>0</v>
      </c>
      <c r="H210" s="57">
        <v>0</v>
      </c>
      <c r="I210" s="63">
        <v>0</v>
      </c>
      <c r="J210" s="108"/>
      <c r="K210" s="108"/>
      <c r="L210" s="108"/>
      <c r="M210" s="108"/>
      <c r="N210" s="108"/>
      <c r="O210" s="108"/>
      <c r="P210" s="108"/>
      <c r="Q210" s="108"/>
    </row>
    <row r="211" spans="1:17" ht="15">
      <c r="A211" s="78"/>
      <c r="B211" s="79"/>
      <c r="C211" s="80"/>
      <c r="D211" s="32">
        <v>2025</v>
      </c>
      <c r="E211" s="52">
        <f t="shared" si="35"/>
        <v>0</v>
      </c>
      <c r="F211" s="52">
        <v>0</v>
      </c>
      <c r="G211" s="52">
        <v>0</v>
      </c>
      <c r="H211" s="57">
        <v>0</v>
      </c>
      <c r="I211" s="63">
        <v>0</v>
      </c>
      <c r="J211" s="108"/>
      <c r="K211" s="108"/>
      <c r="L211" s="108"/>
      <c r="M211" s="108"/>
      <c r="N211" s="108"/>
      <c r="O211" s="108"/>
      <c r="P211" s="108"/>
      <c r="Q211" s="108"/>
    </row>
    <row r="212" spans="1:17" ht="15">
      <c r="A212" s="78"/>
      <c r="B212" s="79"/>
      <c r="C212" s="80"/>
      <c r="D212" s="32">
        <v>2026</v>
      </c>
      <c r="E212" s="52">
        <f t="shared" si="35"/>
        <v>0</v>
      </c>
      <c r="F212" s="52">
        <v>0</v>
      </c>
      <c r="G212" s="52">
        <v>0</v>
      </c>
      <c r="H212" s="57">
        <v>0</v>
      </c>
      <c r="I212" s="63">
        <v>0</v>
      </c>
      <c r="J212" s="108"/>
      <c r="K212" s="108"/>
      <c r="L212" s="108"/>
      <c r="M212" s="108"/>
      <c r="N212" s="108"/>
      <c r="O212" s="108"/>
      <c r="P212" s="108"/>
      <c r="Q212" s="108"/>
    </row>
    <row r="213" spans="1:17" ht="33" customHeight="1">
      <c r="A213" s="78" t="s">
        <v>241</v>
      </c>
      <c r="B213" s="79" t="s">
        <v>242</v>
      </c>
      <c r="C213" s="80" t="s">
        <v>23</v>
      </c>
      <c r="D213" s="35" t="s">
        <v>19</v>
      </c>
      <c r="E213" s="52">
        <f>SUM(E214:E220)</f>
        <v>368.7521</v>
      </c>
      <c r="F213" s="52">
        <f>SUM(F214:F220)</f>
        <v>0</v>
      </c>
      <c r="G213" s="52">
        <f>SUM(G214:G220)</f>
        <v>0</v>
      </c>
      <c r="H213" s="57">
        <f>SUM(H214:H220)</f>
        <v>368.7521</v>
      </c>
      <c r="I213" s="63">
        <f>SUM(I214:I220)</f>
        <v>0</v>
      </c>
      <c r="J213" s="66" t="s">
        <v>244</v>
      </c>
      <c r="K213" s="66"/>
      <c r="L213" s="66"/>
      <c r="M213" s="66"/>
      <c r="N213" s="66"/>
      <c r="O213" s="66"/>
      <c r="P213" s="66"/>
      <c r="Q213" s="66"/>
    </row>
    <row r="214" spans="1:17" ht="15">
      <c r="A214" s="78"/>
      <c r="B214" s="79"/>
      <c r="C214" s="80"/>
      <c r="D214" s="32">
        <v>2020</v>
      </c>
      <c r="E214" s="52">
        <f aca="true" t="shared" si="36" ref="E214:E220">F214+G214+H214+I214</f>
        <v>52.6789</v>
      </c>
      <c r="F214" s="52">
        <v>0</v>
      </c>
      <c r="G214" s="52">
        <v>0</v>
      </c>
      <c r="H214" s="57">
        <v>52.6789</v>
      </c>
      <c r="I214" s="63">
        <v>0</v>
      </c>
      <c r="J214" s="67">
        <v>100</v>
      </c>
      <c r="K214" s="67"/>
      <c r="L214" s="67"/>
      <c r="M214" s="67"/>
      <c r="N214" s="67"/>
      <c r="O214" s="67"/>
      <c r="P214" s="67"/>
      <c r="Q214" s="67"/>
    </row>
    <row r="215" spans="1:17" ht="15">
      <c r="A215" s="78"/>
      <c r="B215" s="79"/>
      <c r="C215" s="80"/>
      <c r="D215" s="32">
        <v>2021</v>
      </c>
      <c r="E215" s="52">
        <f t="shared" si="36"/>
        <v>158.0366</v>
      </c>
      <c r="F215" s="52">
        <v>0</v>
      </c>
      <c r="G215" s="52">
        <v>0</v>
      </c>
      <c r="H215" s="57">
        <v>158.0366</v>
      </c>
      <c r="I215" s="63">
        <v>0</v>
      </c>
      <c r="J215" s="67">
        <v>100</v>
      </c>
      <c r="K215" s="67"/>
      <c r="L215" s="67"/>
      <c r="M215" s="67"/>
      <c r="N215" s="67"/>
      <c r="O215" s="67"/>
      <c r="P215" s="67"/>
      <c r="Q215" s="67"/>
    </row>
    <row r="216" spans="1:17" ht="15">
      <c r="A216" s="78"/>
      <c r="B216" s="79"/>
      <c r="C216" s="80"/>
      <c r="D216" s="32">
        <v>2022</v>
      </c>
      <c r="E216" s="52">
        <f t="shared" si="36"/>
        <v>158.0366</v>
      </c>
      <c r="F216" s="52">
        <v>0</v>
      </c>
      <c r="G216" s="52">
        <v>0</v>
      </c>
      <c r="H216" s="57">
        <f>H215</f>
        <v>158.0366</v>
      </c>
      <c r="I216" s="63">
        <v>0</v>
      </c>
      <c r="J216" s="67">
        <v>100</v>
      </c>
      <c r="K216" s="67"/>
      <c r="L216" s="67"/>
      <c r="M216" s="67"/>
      <c r="N216" s="67"/>
      <c r="O216" s="67"/>
      <c r="P216" s="67"/>
      <c r="Q216" s="67"/>
    </row>
    <row r="217" spans="1:17" ht="15">
      <c r="A217" s="78"/>
      <c r="B217" s="79"/>
      <c r="C217" s="80"/>
      <c r="D217" s="32">
        <v>2023</v>
      </c>
      <c r="E217" s="52">
        <f t="shared" si="36"/>
        <v>0</v>
      </c>
      <c r="F217" s="52">
        <v>0</v>
      </c>
      <c r="G217" s="52">
        <v>0</v>
      </c>
      <c r="H217" s="57">
        <v>0</v>
      </c>
      <c r="I217" s="63">
        <v>0</v>
      </c>
      <c r="J217" s="67" t="s">
        <v>126</v>
      </c>
      <c r="K217" s="67"/>
      <c r="L217" s="67"/>
      <c r="M217" s="67"/>
      <c r="N217" s="67"/>
      <c r="O217" s="67"/>
      <c r="P217" s="67"/>
      <c r="Q217" s="67"/>
    </row>
    <row r="218" spans="1:17" ht="15">
      <c r="A218" s="78"/>
      <c r="B218" s="79"/>
      <c r="C218" s="80"/>
      <c r="D218" s="32">
        <v>2024</v>
      </c>
      <c r="E218" s="52">
        <f t="shared" si="36"/>
        <v>0</v>
      </c>
      <c r="F218" s="52">
        <v>0</v>
      </c>
      <c r="G218" s="52">
        <v>0</v>
      </c>
      <c r="H218" s="57">
        <v>0</v>
      </c>
      <c r="I218" s="63">
        <v>0</v>
      </c>
      <c r="J218" s="67" t="s">
        <v>126</v>
      </c>
      <c r="K218" s="67"/>
      <c r="L218" s="67"/>
      <c r="M218" s="67"/>
      <c r="N218" s="67"/>
      <c r="O218" s="67"/>
      <c r="P218" s="67"/>
      <c r="Q218" s="67"/>
    </row>
    <row r="219" spans="1:17" ht="15">
      <c r="A219" s="78"/>
      <c r="B219" s="79"/>
      <c r="C219" s="80"/>
      <c r="D219" s="32">
        <v>2025</v>
      </c>
      <c r="E219" s="52">
        <f t="shared" si="36"/>
        <v>0</v>
      </c>
      <c r="F219" s="52">
        <v>0</v>
      </c>
      <c r="G219" s="52">
        <v>0</v>
      </c>
      <c r="H219" s="57">
        <v>0</v>
      </c>
      <c r="I219" s="63">
        <v>0</v>
      </c>
      <c r="J219" s="67" t="s">
        <v>126</v>
      </c>
      <c r="K219" s="67"/>
      <c r="L219" s="67"/>
      <c r="M219" s="67"/>
      <c r="N219" s="67"/>
      <c r="O219" s="67"/>
      <c r="P219" s="67"/>
      <c r="Q219" s="67"/>
    </row>
    <row r="220" spans="1:17" ht="15">
      <c r="A220" s="78"/>
      <c r="B220" s="79"/>
      <c r="C220" s="80"/>
      <c r="D220" s="32">
        <v>2026</v>
      </c>
      <c r="E220" s="52">
        <f t="shared" si="36"/>
        <v>0</v>
      </c>
      <c r="F220" s="52">
        <v>0</v>
      </c>
      <c r="G220" s="52">
        <v>0</v>
      </c>
      <c r="H220" s="57">
        <v>0</v>
      </c>
      <c r="I220" s="63">
        <v>0</v>
      </c>
      <c r="J220" s="67" t="s">
        <v>126</v>
      </c>
      <c r="K220" s="67"/>
      <c r="L220" s="67"/>
      <c r="M220" s="67"/>
      <c r="N220" s="67"/>
      <c r="O220" s="67"/>
      <c r="P220" s="67"/>
      <c r="Q220" s="67"/>
    </row>
    <row r="221" spans="1:17" ht="33" customHeight="1">
      <c r="A221" s="78" t="s">
        <v>246</v>
      </c>
      <c r="B221" s="79" t="s">
        <v>247</v>
      </c>
      <c r="C221" s="80" t="s">
        <v>23</v>
      </c>
      <c r="D221" s="35" t="s">
        <v>19</v>
      </c>
      <c r="E221" s="58">
        <f>SUM(E222:E228)</f>
        <v>132.29205524</v>
      </c>
      <c r="F221" s="58">
        <f>SUM(F222:F228)</f>
        <v>13.38890097</v>
      </c>
      <c r="G221" s="58">
        <f>SUM(G222:G228)</f>
        <v>34.9661588</v>
      </c>
      <c r="H221" s="58">
        <f>SUM(H222:H228)</f>
        <v>83.93699547</v>
      </c>
      <c r="I221" s="63">
        <f>SUM(I222:I228)</f>
        <v>0</v>
      </c>
      <c r="J221" s="66" t="s">
        <v>248</v>
      </c>
      <c r="K221" s="66"/>
      <c r="L221" s="66"/>
      <c r="M221" s="66"/>
      <c r="N221" s="66"/>
      <c r="O221" s="66"/>
      <c r="P221" s="66"/>
      <c r="Q221" s="66"/>
    </row>
    <row r="222" spans="1:17" ht="15">
      <c r="A222" s="78"/>
      <c r="B222" s="79"/>
      <c r="C222" s="80"/>
      <c r="D222" s="32">
        <v>2020</v>
      </c>
      <c r="E222" s="58">
        <f aca="true" t="shared" si="37" ref="E222:E228">F222+G222+H222+I222</f>
        <v>132.29205524</v>
      </c>
      <c r="F222" s="58">
        <v>13.38890097</v>
      </c>
      <c r="G222" s="58">
        <v>34.9661588</v>
      </c>
      <c r="H222" s="58">
        <v>83.93699547</v>
      </c>
      <c r="I222" s="63">
        <v>0</v>
      </c>
      <c r="J222" s="67">
        <v>100</v>
      </c>
      <c r="K222" s="67"/>
      <c r="L222" s="67"/>
      <c r="M222" s="67"/>
      <c r="N222" s="67"/>
      <c r="O222" s="67"/>
      <c r="P222" s="67"/>
      <c r="Q222" s="67"/>
    </row>
    <row r="223" spans="1:17" ht="15">
      <c r="A223" s="78"/>
      <c r="B223" s="79"/>
      <c r="C223" s="80"/>
      <c r="D223" s="32">
        <v>2021</v>
      </c>
      <c r="E223" s="52">
        <f t="shared" si="37"/>
        <v>0</v>
      </c>
      <c r="F223" s="52">
        <v>0</v>
      </c>
      <c r="G223" s="52">
        <v>0</v>
      </c>
      <c r="H223" s="57">
        <v>0</v>
      </c>
      <c r="I223" s="63">
        <v>0</v>
      </c>
      <c r="J223" s="67" t="s">
        <v>126</v>
      </c>
      <c r="K223" s="67"/>
      <c r="L223" s="67"/>
      <c r="M223" s="67"/>
      <c r="N223" s="67"/>
      <c r="O223" s="67"/>
      <c r="P223" s="67"/>
      <c r="Q223" s="67"/>
    </row>
    <row r="224" spans="1:17" ht="15">
      <c r="A224" s="78"/>
      <c r="B224" s="79"/>
      <c r="C224" s="80"/>
      <c r="D224" s="32">
        <v>2022</v>
      </c>
      <c r="E224" s="52">
        <f t="shared" si="37"/>
        <v>0</v>
      </c>
      <c r="F224" s="52">
        <v>0</v>
      </c>
      <c r="G224" s="52">
        <v>0</v>
      </c>
      <c r="H224" s="57">
        <v>0</v>
      </c>
      <c r="I224" s="63">
        <v>0</v>
      </c>
      <c r="J224" s="67" t="s">
        <v>126</v>
      </c>
      <c r="K224" s="67"/>
      <c r="L224" s="67"/>
      <c r="M224" s="67"/>
      <c r="N224" s="67"/>
      <c r="O224" s="67"/>
      <c r="P224" s="67"/>
      <c r="Q224" s="67"/>
    </row>
    <row r="225" spans="1:17" ht="15">
      <c r="A225" s="78"/>
      <c r="B225" s="79"/>
      <c r="C225" s="80"/>
      <c r="D225" s="32">
        <v>2023</v>
      </c>
      <c r="E225" s="52">
        <f t="shared" si="37"/>
        <v>0</v>
      </c>
      <c r="F225" s="52">
        <v>0</v>
      </c>
      <c r="G225" s="52">
        <v>0</v>
      </c>
      <c r="H225" s="57">
        <v>0</v>
      </c>
      <c r="I225" s="63">
        <v>0</v>
      </c>
      <c r="J225" s="67" t="s">
        <v>126</v>
      </c>
      <c r="K225" s="67"/>
      <c r="L225" s="67"/>
      <c r="M225" s="67"/>
      <c r="N225" s="67"/>
      <c r="O225" s="67"/>
      <c r="P225" s="67"/>
      <c r="Q225" s="67"/>
    </row>
    <row r="226" spans="1:17" ht="15">
      <c r="A226" s="78"/>
      <c r="B226" s="79"/>
      <c r="C226" s="80"/>
      <c r="D226" s="32">
        <v>2024</v>
      </c>
      <c r="E226" s="52">
        <f t="shared" si="37"/>
        <v>0</v>
      </c>
      <c r="F226" s="52">
        <v>0</v>
      </c>
      <c r="G226" s="52">
        <v>0</v>
      </c>
      <c r="H226" s="57">
        <v>0</v>
      </c>
      <c r="I226" s="63">
        <v>0</v>
      </c>
      <c r="J226" s="67" t="s">
        <v>126</v>
      </c>
      <c r="K226" s="67"/>
      <c r="L226" s="67"/>
      <c r="M226" s="67"/>
      <c r="N226" s="67"/>
      <c r="O226" s="67"/>
      <c r="P226" s="67"/>
      <c r="Q226" s="67"/>
    </row>
    <row r="227" spans="1:17" ht="15">
      <c r="A227" s="78"/>
      <c r="B227" s="79"/>
      <c r="C227" s="80"/>
      <c r="D227" s="32">
        <v>2025</v>
      </c>
      <c r="E227" s="52">
        <f t="shared" si="37"/>
        <v>0</v>
      </c>
      <c r="F227" s="52">
        <v>0</v>
      </c>
      <c r="G227" s="52">
        <v>0</v>
      </c>
      <c r="H227" s="57">
        <v>0</v>
      </c>
      <c r="I227" s="63">
        <v>0</v>
      </c>
      <c r="J227" s="67" t="s">
        <v>126</v>
      </c>
      <c r="K227" s="67"/>
      <c r="L227" s="67"/>
      <c r="M227" s="67"/>
      <c r="N227" s="67"/>
      <c r="O227" s="67"/>
      <c r="P227" s="67"/>
      <c r="Q227" s="67"/>
    </row>
    <row r="228" spans="1:17" ht="15">
      <c r="A228" s="78"/>
      <c r="B228" s="79"/>
      <c r="C228" s="80"/>
      <c r="D228" s="32">
        <v>2026</v>
      </c>
      <c r="E228" s="52">
        <f t="shared" si="37"/>
        <v>0</v>
      </c>
      <c r="F228" s="52">
        <v>0</v>
      </c>
      <c r="G228" s="52">
        <v>0</v>
      </c>
      <c r="H228" s="57">
        <v>0</v>
      </c>
      <c r="I228" s="63">
        <v>0</v>
      </c>
      <c r="J228" s="67" t="s">
        <v>126</v>
      </c>
      <c r="K228" s="67"/>
      <c r="L228" s="67"/>
      <c r="M228" s="67"/>
      <c r="N228" s="67"/>
      <c r="O228" s="67"/>
      <c r="P228" s="67"/>
      <c r="Q228" s="67"/>
    </row>
    <row r="229" spans="1:17" ht="33" customHeight="1">
      <c r="A229" s="78" t="s">
        <v>249</v>
      </c>
      <c r="B229" s="79" t="s">
        <v>250</v>
      </c>
      <c r="C229" s="80" t="s">
        <v>23</v>
      </c>
      <c r="D229" s="35" t="s">
        <v>19</v>
      </c>
      <c r="E229" s="52">
        <f>SUM(E230:E236)</f>
        <v>3.8297</v>
      </c>
      <c r="F229" s="52">
        <f>SUM(F230:F236)</f>
        <v>3.8297</v>
      </c>
      <c r="G229" s="52">
        <f>SUM(G230:G236)</f>
        <v>0</v>
      </c>
      <c r="H229" s="57">
        <f>SUM(H230:H236)</f>
        <v>0</v>
      </c>
      <c r="I229" s="63">
        <f>SUM(I230:I236)</f>
        <v>0</v>
      </c>
      <c r="J229" s="69" t="s">
        <v>126</v>
      </c>
      <c r="K229" s="70"/>
      <c r="L229" s="70"/>
      <c r="M229" s="70"/>
      <c r="N229" s="70"/>
      <c r="O229" s="70"/>
      <c r="P229" s="70"/>
      <c r="Q229" s="71"/>
    </row>
    <row r="230" spans="1:17" ht="15">
      <c r="A230" s="78"/>
      <c r="B230" s="79"/>
      <c r="C230" s="80"/>
      <c r="D230" s="32">
        <v>2020</v>
      </c>
      <c r="E230" s="52">
        <f aca="true" t="shared" si="38" ref="E230:E236">F230+G230+H230+I230</f>
        <v>3.8297</v>
      </c>
      <c r="F230" s="52">
        <f>3.3806+0.4491</f>
        <v>3.8297</v>
      </c>
      <c r="G230" s="52">
        <v>0</v>
      </c>
      <c r="H230" s="57">
        <v>0</v>
      </c>
      <c r="I230" s="63">
        <v>0</v>
      </c>
      <c r="J230" s="72"/>
      <c r="K230" s="73"/>
      <c r="L230" s="73"/>
      <c r="M230" s="73"/>
      <c r="N230" s="73"/>
      <c r="O230" s="73"/>
      <c r="P230" s="73"/>
      <c r="Q230" s="74"/>
    </row>
    <row r="231" spans="1:17" ht="15">
      <c r="A231" s="78"/>
      <c r="B231" s="79"/>
      <c r="C231" s="80"/>
      <c r="D231" s="32">
        <v>2021</v>
      </c>
      <c r="E231" s="52">
        <f t="shared" si="38"/>
        <v>0</v>
      </c>
      <c r="F231" s="52">
        <v>0</v>
      </c>
      <c r="G231" s="52">
        <v>0</v>
      </c>
      <c r="H231" s="57">
        <v>0</v>
      </c>
      <c r="I231" s="63">
        <v>0</v>
      </c>
      <c r="J231" s="72"/>
      <c r="K231" s="73"/>
      <c r="L231" s="73"/>
      <c r="M231" s="73"/>
      <c r="N231" s="73"/>
      <c r="O231" s="73"/>
      <c r="P231" s="73"/>
      <c r="Q231" s="74"/>
    </row>
    <row r="232" spans="1:17" ht="15">
      <c r="A232" s="78"/>
      <c r="B232" s="79"/>
      <c r="C232" s="80"/>
      <c r="D232" s="32">
        <v>2022</v>
      </c>
      <c r="E232" s="52">
        <f t="shared" si="38"/>
        <v>0</v>
      </c>
      <c r="F232" s="52">
        <v>0</v>
      </c>
      <c r="G232" s="52">
        <v>0</v>
      </c>
      <c r="H232" s="57">
        <v>0</v>
      </c>
      <c r="I232" s="63">
        <v>0</v>
      </c>
      <c r="J232" s="72"/>
      <c r="K232" s="73"/>
      <c r="L232" s="73"/>
      <c r="M232" s="73"/>
      <c r="N232" s="73"/>
      <c r="O232" s="73"/>
      <c r="P232" s="73"/>
      <c r="Q232" s="74"/>
    </row>
    <row r="233" spans="1:17" ht="15">
      <c r="A233" s="78"/>
      <c r="B233" s="79"/>
      <c r="C233" s="80"/>
      <c r="D233" s="32">
        <v>2023</v>
      </c>
      <c r="E233" s="52">
        <f t="shared" si="38"/>
        <v>0</v>
      </c>
      <c r="F233" s="52">
        <v>0</v>
      </c>
      <c r="G233" s="52">
        <v>0</v>
      </c>
      <c r="H233" s="57">
        <v>0</v>
      </c>
      <c r="I233" s="63">
        <v>0</v>
      </c>
      <c r="J233" s="72"/>
      <c r="K233" s="73"/>
      <c r="L233" s="73"/>
      <c r="M233" s="73"/>
      <c r="N233" s="73"/>
      <c r="O233" s="73"/>
      <c r="P233" s="73"/>
      <c r="Q233" s="74"/>
    </row>
    <row r="234" spans="1:17" ht="15">
      <c r="A234" s="78"/>
      <c r="B234" s="79"/>
      <c r="C234" s="80"/>
      <c r="D234" s="32">
        <v>2024</v>
      </c>
      <c r="E234" s="52">
        <f t="shared" si="38"/>
        <v>0</v>
      </c>
      <c r="F234" s="52">
        <v>0</v>
      </c>
      <c r="G234" s="52">
        <v>0</v>
      </c>
      <c r="H234" s="57">
        <v>0</v>
      </c>
      <c r="I234" s="63">
        <v>0</v>
      </c>
      <c r="J234" s="72"/>
      <c r="K234" s="73"/>
      <c r="L234" s="73"/>
      <c r="M234" s="73"/>
      <c r="N234" s="73"/>
      <c r="O234" s="73"/>
      <c r="P234" s="73"/>
      <c r="Q234" s="74"/>
    </row>
    <row r="235" spans="1:17" ht="15">
      <c r="A235" s="78"/>
      <c r="B235" s="79"/>
      <c r="C235" s="80"/>
      <c r="D235" s="32">
        <v>2025</v>
      </c>
      <c r="E235" s="52">
        <f t="shared" si="38"/>
        <v>0</v>
      </c>
      <c r="F235" s="52">
        <v>0</v>
      </c>
      <c r="G235" s="52">
        <v>0</v>
      </c>
      <c r="H235" s="57">
        <v>0</v>
      </c>
      <c r="I235" s="63">
        <v>0</v>
      </c>
      <c r="J235" s="72"/>
      <c r="K235" s="73"/>
      <c r="L235" s="73"/>
      <c r="M235" s="73"/>
      <c r="N235" s="73"/>
      <c r="O235" s="73"/>
      <c r="P235" s="73"/>
      <c r="Q235" s="74"/>
    </row>
    <row r="236" spans="1:17" ht="15">
      <c r="A236" s="78"/>
      <c r="B236" s="79"/>
      <c r="C236" s="80"/>
      <c r="D236" s="32">
        <v>2026</v>
      </c>
      <c r="E236" s="52">
        <f t="shared" si="38"/>
        <v>0</v>
      </c>
      <c r="F236" s="52">
        <v>0</v>
      </c>
      <c r="G236" s="52">
        <v>0</v>
      </c>
      <c r="H236" s="57">
        <v>0</v>
      </c>
      <c r="I236" s="63">
        <v>0</v>
      </c>
      <c r="J236" s="75"/>
      <c r="K236" s="76"/>
      <c r="L236" s="76"/>
      <c r="M236" s="76"/>
      <c r="N236" s="76"/>
      <c r="O236" s="76"/>
      <c r="P236" s="76"/>
      <c r="Q236" s="77"/>
    </row>
    <row r="237" spans="1:17" ht="15" customHeight="1">
      <c r="A237" s="90" t="s">
        <v>80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1:17" ht="15" customHeight="1">
      <c r="A238" s="92" t="s">
        <v>194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1:17" ht="15" customHeight="1">
      <c r="A239" s="92" t="s">
        <v>195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1:17" ht="15">
      <c r="A240" s="78" t="s">
        <v>158</v>
      </c>
      <c r="B240" s="92" t="s">
        <v>125</v>
      </c>
      <c r="C240" s="80" t="s">
        <v>23</v>
      </c>
      <c r="D240" s="35" t="s">
        <v>19</v>
      </c>
      <c r="E240" s="52">
        <f>SUM(E241:E247)</f>
        <v>273.5893</v>
      </c>
      <c r="F240" s="52">
        <f>SUM(F241:F247)</f>
        <v>273.5893</v>
      </c>
      <c r="G240" s="52">
        <f>SUM(G241:G247)</f>
        <v>0</v>
      </c>
      <c r="H240" s="52">
        <f>SUM(H241:H247)</f>
        <v>0</v>
      </c>
      <c r="I240" s="63">
        <f>SUM(I241:I247)</f>
        <v>0</v>
      </c>
      <c r="J240" s="82" t="s">
        <v>165</v>
      </c>
      <c r="K240" s="82"/>
      <c r="L240" s="82"/>
      <c r="M240" s="82"/>
      <c r="N240" s="82"/>
      <c r="O240" s="82"/>
      <c r="P240" s="82"/>
      <c r="Q240" s="82"/>
    </row>
    <row r="241" spans="1:17" ht="15">
      <c r="A241" s="78"/>
      <c r="B241" s="92"/>
      <c r="C241" s="80"/>
      <c r="D241" s="32">
        <v>2020</v>
      </c>
      <c r="E241" s="52">
        <f aca="true" t="shared" si="39" ref="E241:E247">F241+G241+H241+I241</f>
        <v>41.050200000000004</v>
      </c>
      <c r="F241" s="52">
        <f>39.8327+0.5297+0.8916-0.1857-0.0181</f>
        <v>41.050200000000004</v>
      </c>
      <c r="G241" s="52">
        <v>0</v>
      </c>
      <c r="H241" s="52">
        <v>0</v>
      </c>
      <c r="I241" s="63">
        <v>0</v>
      </c>
      <c r="J241" s="82" t="s">
        <v>166</v>
      </c>
      <c r="K241" s="82"/>
      <c r="L241" s="82"/>
      <c r="M241" s="82"/>
      <c r="N241" s="82"/>
      <c r="O241" s="82"/>
      <c r="P241" s="82"/>
      <c r="Q241" s="82"/>
    </row>
    <row r="242" spans="1:17" ht="15">
      <c r="A242" s="78"/>
      <c r="B242" s="92"/>
      <c r="C242" s="80"/>
      <c r="D242" s="32">
        <v>2021</v>
      </c>
      <c r="E242" s="52">
        <f t="shared" si="39"/>
        <v>41.0539</v>
      </c>
      <c r="F242" s="52">
        <v>41.0539</v>
      </c>
      <c r="G242" s="52">
        <v>0</v>
      </c>
      <c r="H242" s="52">
        <v>0</v>
      </c>
      <c r="I242" s="63">
        <v>0</v>
      </c>
      <c r="J242" s="82" t="s">
        <v>166</v>
      </c>
      <c r="K242" s="82"/>
      <c r="L242" s="82"/>
      <c r="M242" s="82"/>
      <c r="N242" s="82"/>
      <c r="O242" s="82"/>
      <c r="P242" s="82"/>
      <c r="Q242" s="82"/>
    </row>
    <row r="243" spans="1:17" ht="15">
      <c r="A243" s="78"/>
      <c r="B243" s="92"/>
      <c r="C243" s="80"/>
      <c r="D243" s="32">
        <v>2022</v>
      </c>
      <c r="E243" s="52">
        <f t="shared" si="39"/>
        <v>42.5916</v>
      </c>
      <c r="F243" s="52">
        <v>42.5916</v>
      </c>
      <c r="G243" s="52">
        <v>0</v>
      </c>
      <c r="H243" s="52">
        <v>0</v>
      </c>
      <c r="I243" s="63">
        <v>0</v>
      </c>
      <c r="J243" s="82" t="s">
        <v>166</v>
      </c>
      <c r="K243" s="82"/>
      <c r="L243" s="82"/>
      <c r="M243" s="82"/>
      <c r="N243" s="82"/>
      <c r="O243" s="82"/>
      <c r="P243" s="82"/>
      <c r="Q243" s="82"/>
    </row>
    <row r="244" spans="1:17" ht="15">
      <c r="A244" s="78"/>
      <c r="B244" s="92"/>
      <c r="C244" s="80"/>
      <c r="D244" s="32">
        <v>2023</v>
      </c>
      <c r="E244" s="52">
        <f t="shared" si="39"/>
        <v>37.2234</v>
      </c>
      <c r="F244" s="52">
        <v>37.2234</v>
      </c>
      <c r="G244" s="52">
        <v>0</v>
      </c>
      <c r="H244" s="52">
        <v>0</v>
      </c>
      <c r="I244" s="63">
        <v>0</v>
      </c>
      <c r="J244" s="82" t="s">
        <v>166</v>
      </c>
      <c r="K244" s="82"/>
      <c r="L244" s="82"/>
      <c r="M244" s="82"/>
      <c r="N244" s="82"/>
      <c r="O244" s="82"/>
      <c r="P244" s="82"/>
      <c r="Q244" s="82"/>
    </row>
    <row r="245" spans="1:17" ht="15">
      <c r="A245" s="78"/>
      <c r="B245" s="92"/>
      <c r="C245" s="80"/>
      <c r="D245" s="32">
        <v>2024</v>
      </c>
      <c r="E245" s="52">
        <f t="shared" si="39"/>
        <v>37.2234</v>
      </c>
      <c r="F245" s="52">
        <v>37.2234</v>
      </c>
      <c r="G245" s="52">
        <v>0</v>
      </c>
      <c r="H245" s="52">
        <v>0</v>
      </c>
      <c r="I245" s="63">
        <v>0</v>
      </c>
      <c r="J245" s="82" t="s">
        <v>166</v>
      </c>
      <c r="K245" s="82"/>
      <c r="L245" s="82"/>
      <c r="M245" s="82"/>
      <c r="N245" s="82"/>
      <c r="O245" s="82"/>
      <c r="P245" s="82"/>
      <c r="Q245" s="82"/>
    </row>
    <row r="246" spans="1:17" ht="15">
      <c r="A246" s="78"/>
      <c r="B246" s="92"/>
      <c r="C246" s="80"/>
      <c r="D246" s="32">
        <v>2025</v>
      </c>
      <c r="E246" s="52">
        <f t="shared" si="39"/>
        <v>37.2234</v>
      </c>
      <c r="F246" s="52">
        <v>37.2234</v>
      </c>
      <c r="G246" s="52">
        <v>0</v>
      </c>
      <c r="H246" s="52">
        <v>0</v>
      </c>
      <c r="I246" s="63">
        <v>0</v>
      </c>
      <c r="J246" s="82" t="s">
        <v>166</v>
      </c>
      <c r="K246" s="82"/>
      <c r="L246" s="82"/>
      <c r="M246" s="82"/>
      <c r="N246" s="82"/>
      <c r="O246" s="82"/>
      <c r="P246" s="82"/>
      <c r="Q246" s="82"/>
    </row>
    <row r="247" spans="1:17" ht="14.25" customHeight="1">
      <c r="A247" s="78"/>
      <c r="B247" s="92"/>
      <c r="C247" s="80"/>
      <c r="D247" s="32">
        <v>2026</v>
      </c>
      <c r="E247" s="52">
        <f t="shared" si="39"/>
        <v>37.2234</v>
      </c>
      <c r="F247" s="52">
        <v>37.2234</v>
      </c>
      <c r="G247" s="52">
        <v>0</v>
      </c>
      <c r="H247" s="52">
        <v>0</v>
      </c>
      <c r="I247" s="63">
        <v>0</v>
      </c>
      <c r="J247" s="82" t="s">
        <v>166</v>
      </c>
      <c r="K247" s="82"/>
      <c r="L247" s="82"/>
      <c r="M247" s="82"/>
      <c r="N247" s="82"/>
      <c r="O247" s="82"/>
      <c r="P247" s="82"/>
      <c r="Q247" s="82"/>
    </row>
    <row r="248" spans="1:17" ht="15">
      <c r="A248" s="78" t="s">
        <v>159</v>
      </c>
      <c r="B248" s="92" t="s">
        <v>122</v>
      </c>
      <c r="C248" s="80" t="s">
        <v>23</v>
      </c>
      <c r="D248" s="35" t="s">
        <v>19</v>
      </c>
      <c r="E248" s="52">
        <f>SUM(E249:E255)</f>
        <v>40.36409999999999</v>
      </c>
      <c r="F248" s="52">
        <f>SUM(F249:F255)</f>
        <v>0</v>
      </c>
      <c r="G248" s="52">
        <f>SUM(G249:G255)</f>
        <v>40.36409999999999</v>
      </c>
      <c r="H248" s="52">
        <f>SUM(H249:H255)</f>
        <v>0</v>
      </c>
      <c r="I248" s="63">
        <f>SUM(I249:I255)</f>
        <v>0</v>
      </c>
      <c r="J248" s="82" t="s">
        <v>165</v>
      </c>
      <c r="K248" s="82"/>
      <c r="L248" s="82"/>
      <c r="M248" s="82"/>
      <c r="N248" s="82"/>
      <c r="O248" s="82"/>
      <c r="P248" s="82"/>
      <c r="Q248" s="82"/>
    </row>
    <row r="249" spans="1:17" ht="15">
      <c r="A249" s="78"/>
      <c r="B249" s="92"/>
      <c r="C249" s="80"/>
      <c r="D249" s="32">
        <v>2020</v>
      </c>
      <c r="E249" s="52">
        <f aca="true" t="shared" si="40" ref="E249:E255">F249+G249+H249+I249</f>
        <v>5.9924</v>
      </c>
      <c r="F249" s="52">
        <v>0</v>
      </c>
      <c r="G249" s="52">
        <v>5.9924</v>
      </c>
      <c r="H249" s="52">
        <v>0</v>
      </c>
      <c r="I249" s="63">
        <v>0</v>
      </c>
      <c r="J249" s="82" t="s">
        <v>166</v>
      </c>
      <c r="K249" s="82"/>
      <c r="L249" s="82"/>
      <c r="M249" s="82"/>
      <c r="N249" s="82"/>
      <c r="O249" s="82"/>
      <c r="P249" s="82"/>
      <c r="Q249" s="82"/>
    </row>
    <row r="250" spans="1:17" ht="15">
      <c r="A250" s="78"/>
      <c r="B250" s="92"/>
      <c r="C250" s="80"/>
      <c r="D250" s="32">
        <v>2021</v>
      </c>
      <c r="E250" s="52">
        <f t="shared" si="40"/>
        <v>6.1755</v>
      </c>
      <c r="F250" s="52">
        <v>0</v>
      </c>
      <c r="G250" s="52">
        <v>6.1755</v>
      </c>
      <c r="H250" s="52">
        <v>0</v>
      </c>
      <c r="I250" s="63">
        <v>0</v>
      </c>
      <c r="J250" s="82" t="s">
        <v>166</v>
      </c>
      <c r="K250" s="82"/>
      <c r="L250" s="82"/>
      <c r="M250" s="82"/>
      <c r="N250" s="82"/>
      <c r="O250" s="82"/>
      <c r="P250" s="82"/>
      <c r="Q250" s="82"/>
    </row>
    <row r="251" spans="1:17" ht="15">
      <c r="A251" s="78"/>
      <c r="B251" s="92"/>
      <c r="C251" s="80"/>
      <c r="D251" s="32">
        <v>2022</v>
      </c>
      <c r="E251" s="52">
        <f t="shared" si="40"/>
        <v>6.4078</v>
      </c>
      <c r="F251" s="52">
        <v>0</v>
      </c>
      <c r="G251" s="52">
        <v>6.4078</v>
      </c>
      <c r="H251" s="52">
        <v>0</v>
      </c>
      <c r="I251" s="63">
        <v>0</v>
      </c>
      <c r="J251" s="82" t="s">
        <v>166</v>
      </c>
      <c r="K251" s="82"/>
      <c r="L251" s="82"/>
      <c r="M251" s="82"/>
      <c r="N251" s="82"/>
      <c r="O251" s="82"/>
      <c r="P251" s="82"/>
      <c r="Q251" s="82"/>
    </row>
    <row r="252" spans="1:17" ht="15">
      <c r="A252" s="78"/>
      <c r="B252" s="92"/>
      <c r="C252" s="80"/>
      <c r="D252" s="32">
        <v>2023</v>
      </c>
      <c r="E252" s="52">
        <f t="shared" si="40"/>
        <v>5.4471</v>
      </c>
      <c r="F252" s="52">
        <v>0</v>
      </c>
      <c r="G252" s="52">
        <v>5.4471</v>
      </c>
      <c r="H252" s="52">
        <v>0</v>
      </c>
      <c r="I252" s="63">
        <v>0</v>
      </c>
      <c r="J252" s="82" t="s">
        <v>166</v>
      </c>
      <c r="K252" s="82"/>
      <c r="L252" s="82"/>
      <c r="M252" s="82"/>
      <c r="N252" s="82"/>
      <c r="O252" s="82"/>
      <c r="P252" s="82"/>
      <c r="Q252" s="82"/>
    </row>
    <row r="253" spans="1:17" ht="15">
      <c r="A253" s="78"/>
      <c r="B253" s="92"/>
      <c r="C253" s="80"/>
      <c r="D253" s="32">
        <v>2024</v>
      </c>
      <c r="E253" s="52">
        <f t="shared" si="40"/>
        <v>5.4471</v>
      </c>
      <c r="F253" s="52">
        <v>0</v>
      </c>
      <c r="G253" s="52">
        <v>5.4471</v>
      </c>
      <c r="H253" s="52">
        <v>0</v>
      </c>
      <c r="I253" s="63">
        <v>0</v>
      </c>
      <c r="J253" s="82" t="s">
        <v>166</v>
      </c>
      <c r="K253" s="82"/>
      <c r="L253" s="82"/>
      <c r="M253" s="82"/>
      <c r="N253" s="82"/>
      <c r="O253" s="82"/>
      <c r="P253" s="82"/>
      <c r="Q253" s="82"/>
    </row>
    <row r="254" spans="1:17" ht="15">
      <c r="A254" s="78"/>
      <c r="B254" s="92"/>
      <c r="C254" s="80"/>
      <c r="D254" s="32">
        <v>2025</v>
      </c>
      <c r="E254" s="52">
        <f t="shared" si="40"/>
        <v>5.4471</v>
      </c>
      <c r="F254" s="52">
        <v>0</v>
      </c>
      <c r="G254" s="52">
        <v>5.4471</v>
      </c>
      <c r="H254" s="52">
        <v>0</v>
      </c>
      <c r="I254" s="63">
        <v>0</v>
      </c>
      <c r="J254" s="82" t="s">
        <v>166</v>
      </c>
      <c r="K254" s="82"/>
      <c r="L254" s="82"/>
      <c r="M254" s="82"/>
      <c r="N254" s="82"/>
      <c r="O254" s="82"/>
      <c r="P254" s="82"/>
      <c r="Q254" s="82"/>
    </row>
    <row r="255" spans="1:17" ht="15">
      <c r="A255" s="78"/>
      <c r="B255" s="92"/>
      <c r="C255" s="80"/>
      <c r="D255" s="32">
        <v>2026</v>
      </c>
      <c r="E255" s="52">
        <f t="shared" si="40"/>
        <v>5.4471</v>
      </c>
      <c r="F255" s="52">
        <v>0</v>
      </c>
      <c r="G255" s="52">
        <v>5.4471</v>
      </c>
      <c r="H255" s="52">
        <v>0</v>
      </c>
      <c r="I255" s="63">
        <v>0</v>
      </c>
      <c r="J255" s="82" t="s">
        <v>166</v>
      </c>
      <c r="K255" s="82"/>
      <c r="L255" s="82"/>
      <c r="M255" s="82"/>
      <c r="N255" s="82"/>
      <c r="O255" s="82"/>
      <c r="P255" s="82"/>
      <c r="Q255" s="82"/>
    </row>
    <row r="256" spans="1:17" ht="15">
      <c r="A256" s="78" t="s">
        <v>160</v>
      </c>
      <c r="B256" s="92" t="s">
        <v>127</v>
      </c>
      <c r="C256" s="80" t="s">
        <v>23</v>
      </c>
      <c r="D256" s="35" t="s">
        <v>19</v>
      </c>
      <c r="E256" s="52">
        <f>SUM(E257:E263)</f>
        <v>2.2696</v>
      </c>
      <c r="F256" s="52">
        <f>SUM(F257:F263)</f>
        <v>0</v>
      </c>
      <c r="G256" s="52">
        <f>SUM(G257:G263)</f>
        <v>2.2696</v>
      </c>
      <c r="H256" s="52">
        <f>SUM(H257:H263)</f>
        <v>0</v>
      </c>
      <c r="I256" s="63">
        <f>SUM(I257:I263)</f>
        <v>0</v>
      </c>
      <c r="J256" s="82" t="s">
        <v>165</v>
      </c>
      <c r="K256" s="82"/>
      <c r="L256" s="82"/>
      <c r="M256" s="82"/>
      <c r="N256" s="82"/>
      <c r="O256" s="82"/>
      <c r="P256" s="82"/>
      <c r="Q256" s="82"/>
    </row>
    <row r="257" spans="1:17" ht="15">
      <c r="A257" s="78"/>
      <c r="B257" s="92"/>
      <c r="C257" s="80"/>
      <c r="D257" s="32">
        <v>2020</v>
      </c>
      <c r="E257" s="52">
        <f aca="true" t="shared" si="41" ref="E257:E263">F257+G257+H257+I257</f>
        <v>0.3058</v>
      </c>
      <c r="F257" s="52">
        <v>0</v>
      </c>
      <c r="G257" s="52">
        <v>0.3058</v>
      </c>
      <c r="H257" s="52">
        <v>0</v>
      </c>
      <c r="I257" s="63">
        <v>0</v>
      </c>
      <c r="J257" s="82" t="s">
        <v>166</v>
      </c>
      <c r="K257" s="82"/>
      <c r="L257" s="82"/>
      <c r="M257" s="82"/>
      <c r="N257" s="82"/>
      <c r="O257" s="82"/>
      <c r="P257" s="82"/>
      <c r="Q257" s="82"/>
    </row>
    <row r="258" spans="1:17" ht="15">
      <c r="A258" s="78"/>
      <c r="B258" s="92"/>
      <c r="C258" s="80"/>
      <c r="D258" s="32">
        <v>2021</v>
      </c>
      <c r="E258" s="52">
        <f t="shared" si="41"/>
        <v>0.3206</v>
      </c>
      <c r="F258" s="52">
        <v>0</v>
      </c>
      <c r="G258" s="52">
        <v>0.3206</v>
      </c>
      <c r="H258" s="52">
        <v>0</v>
      </c>
      <c r="I258" s="63">
        <v>0</v>
      </c>
      <c r="J258" s="82" t="s">
        <v>166</v>
      </c>
      <c r="K258" s="82"/>
      <c r="L258" s="82"/>
      <c r="M258" s="82"/>
      <c r="N258" s="82"/>
      <c r="O258" s="82"/>
      <c r="P258" s="82"/>
      <c r="Q258" s="82"/>
    </row>
    <row r="259" spans="1:17" ht="15">
      <c r="A259" s="78"/>
      <c r="B259" s="92"/>
      <c r="C259" s="80"/>
      <c r="D259" s="32">
        <v>2022</v>
      </c>
      <c r="E259" s="52">
        <f t="shared" si="41"/>
        <v>0.3392</v>
      </c>
      <c r="F259" s="52">
        <v>0</v>
      </c>
      <c r="G259" s="52">
        <v>0.3392</v>
      </c>
      <c r="H259" s="52">
        <v>0</v>
      </c>
      <c r="I259" s="63">
        <v>0</v>
      </c>
      <c r="J259" s="82" t="s">
        <v>166</v>
      </c>
      <c r="K259" s="82"/>
      <c r="L259" s="82"/>
      <c r="M259" s="82"/>
      <c r="N259" s="82"/>
      <c r="O259" s="82"/>
      <c r="P259" s="82"/>
      <c r="Q259" s="82"/>
    </row>
    <row r="260" spans="1:17" ht="17.25" customHeight="1">
      <c r="A260" s="78"/>
      <c r="B260" s="92"/>
      <c r="C260" s="80"/>
      <c r="D260" s="32">
        <v>2023</v>
      </c>
      <c r="E260" s="52">
        <f t="shared" si="41"/>
        <v>0.326</v>
      </c>
      <c r="F260" s="52">
        <v>0</v>
      </c>
      <c r="G260" s="52">
        <v>0.326</v>
      </c>
      <c r="H260" s="52">
        <v>0</v>
      </c>
      <c r="I260" s="63">
        <v>0</v>
      </c>
      <c r="J260" s="82" t="s">
        <v>166</v>
      </c>
      <c r="K260" s="82"/>
      <c r="L260" s="82"/>
      <c r="M260" s="82"/>
      <c r="N260" s="82"/>
      <c r="O260" s="82"/>
      <c r="P260" s="82"/>
      <c r="Q260" s="82"/>
    </row>
    <row r="261" spans="1:17" ht="17.25" customHeight="1">
      <c r="A261" s="78"/>
      <c r="B261" s="92"/>
      <c r="C261" s="80"/>
      <c r="D261" s="32">
        <v>2024</v>
      </c>
      <c r="E261" s="52">
        <f t="shared" si="41"/>
        <v>0.326</v>
      </c>
      <c r="F261" s="52">
        <v>0</v>
      </c>
      <c r="G261" s="52">
        <v>0.326</v>
      </c>
      <c r="H261" s="52">
        <v>0</v>
      </c>
      <c r="I261" s="63">
        <v>0</v>
      </c>
      <c r="J261" s="82" t="s">
        <v>166</v>
      </c>
      <c r="K261" s="82"/>
      <c r="L261" s="82"/>
      <c r="M261" s="82"/>
      <c r="N261" s="82"/>
      <c r="O261" s="82"/>
      <c r="P261" s="82"/>
      <c r="Q261" s="82"/>
    </row>
    <row r="262" spans="1:17" ht="17.25" customHeight="1">
      <c r="A262" s="78"/>
      <c r="B262" s="92"/>
      <c r="C262" s="80"/>
      <c r="D262" s="32">
        <v>2025</v>
      </c>
      <c r="E262" s="52">
        <f t="shared" si="41"/>
        <v>0.326</v>
      </c>
      <c r="F262" s="52">
        <v>0</v>
      </c>
      <c r="G262" s="52">
        <v>0.326</v>
      </c>
      <c r="H262" s="52">
        <v>0</v>
      </c>
      <c r="I262" s="63">
        <v>0</v>
      </c>
      <c r="J262" s="82" t="s">
        <v>166</v>
      </c>
      <c r="K262" s="82"/>
      <c r="L262" s="82"/>
      <c r="M262" s="82"/>
      <c r="N262" s="82"/>
      <c r="O262" s="82"/>
      <c r="P262" s="82"/>
      <c r="Q262" s="82"/>
    </row>
    <row r="263" spans="1:17" ht="69.75" customHeight="1">
      <c r="A263" s="78"/>
      <c r="B263" s="92"/>
      <c r="C263" s="80"/>
      <c r="D263" s="32">
        <v>2026</v>
      </c>
      <c r="E263" s="52">
        <f t="shared" si="41"/>
        <v>0.326</v>
      </c>
      <c r="F263" s="52">
        <v>0</v>
      </c>
      <c r="G263" s="52">
        <v>0.326</v>
      </c>
      <c r="H263" s="52">
        <v>0</v>
      </c>
      <c r="I263" s="63">
        <v>0</v>
      </c>
      <c r="J263" s="82" t="s">
        <v>166</v>
      </c>
      <c r="K263" s="82"/>
      <c r="L263" s="82"/>
      <c r="M263" s="82"/>
      <c r="N263" s="82"/>
      <c r="O263" s="82"/>
      <c r="P263" s="82"/>
      <c r="Q263" s="82"/>
    </row>
    <row r="264" spans="1:17" ht="17.25" customHeight="1">
      <c r="A264" s="78" t="s">
        <v>161</v>
      </c>
      <c r="B264" s="92" t="s">
        <v>198</v>
      </c>
      <c r="C264" s="80" t="s">
        <v>23</v>
      </c>
      <c r="D264" s="35" t="s">
        <v>19</v>
      </c>
      <c r="E264" s="52">
        <f>SUM(E265:E271)</f>
        <v>23.8992</v>
      </c>
      <c r="F264" s="52">
        <f>SUM(F265:F271)</f>
        <v>0</v>
      </c>
      <c r="G264" s="52">
        <f>SUM(G265:G271)</f>
        <v>23.8992</v>
      </c>
      <c r="H264" s="52">
        <f>SUM(H265:H271)</f>
        <v>0</v>
      </c>
      <c r="I264" s="63">
        <f>SUM(I265:I271)</f>
        <v>0</v>
      </c>
      <c r="J264" s="82" t="s">
        <v>165</v>
      </c>
      <c r="K264" s="82"/>
      <c r="L264" s="82"/>
      <c r="M264" s="82"/>
      <c r="N264" s="82"/>
      <c r="O264" s="82"/>
      <c r="P264" s="82"/>
      <c r="Q264" s="82"/>
    </row>
    <row r="265" spans="1:17" ht="17.25" customHeight="1">
      <c r="A265" s="78"/>
      <c r="B265" s="92"/>
      <c r="C265" s="80"/>
      <c r="D265" s="32">
        <v>2020</v>
      </c>
      <c r="E265" s="52">
        <f aca="true" t="shared" si="42" ref="E265:E271">F265+G265+H265+I265</f>
        <v>3.0088</v>
      </c>
      <c r="F265" s="52">
        <v>0</v>
      </c>
      <c r="G265" s="52">
        <v>3.0088</v>
      </c>
      <c r="H265" s="52">
        <v>0</v>
      </c>
      <c r="I265" s="63">
        <v>0</v>
      </c>
      <c r="J265" s="82" t="s">
        <v>166</v>
      </c>
      <c r="K265" s="82"/>
      <c r="L265" s="82"/>
      <c r="M265" s="82"/>
      <c r="N265" s="82"/>
      <c r="O265" s="82"/>
      <c r="P265" s="82"/>
      <c r="Q265" s="82"/>
    </row>
    <row r="266" spans="1:17" ht="17.25" customHeight="1">
      <c r="A266" s="78"/>
      <c r="B266" s="92"/>
      <c r="C266" s="80"/>
      <c r="D266" s="32">
        <v>2021</v>
      </c>
      <c r="E266" s="52">
        <f t="shared" si="42"/>
        <v>3.0385</v>
      </c>
      <c r="F266" s="52">
        <v>0</v>
      </c>
      <c r="G266" s="52">
        <v>3.0385</v>
      </c>
      <c r="H266" s="52">
        <v>0</v>
      </c>
      <c r="I266" s="63">
        <v>0</v>
      </c>
      <c r="J266" s="82" t="s">
        <v>166</v>
      </c>
      <c r="K266" s="82"/>
      <c r="L266" s="82"/>
      <c r="M266" s="82"/>
      <c r="N266" s="82"/>
      <c r="O266" s="82"/>
      <c r="P266" s="82"/>
      <c r="Q266" s="82"/>
    </row>
    <row r="267" spans="1:17" ht="17.25" customHeight="1">
      <c r="A267" s="78"/>
      <c r="B267" s="92"/>
      <c r="C267" s="80"/>
      <c r="D267" s="32">
        <v>2022</v>
      </c>
      <c r="E267" s="52">
        <f t="shared" si="42"/>
        <v>3.0471</v>
      </c>
      <c r="F267" s="52">
        <v>0</v>
      </c>
      <c r="G267" s="52">
        <v>3.0471</v>
      </c>
      <c r="H267" s="52">
        <v>0</v>
      </c>
      <c r="I267" s="63">
        <v>0</v>
      </c>
      <c r="J267" s="82" t="s">
        <v>166</v>
      </c>
      <c r="K267" s="82"/>
      <c r="L267" s="82"/>
      <c r="M267" s="82"/>
      <c r="N267" s="82"/>
      <c r="O267" s="82"/>
      <c r="P267" s="82"/>
      <c r="Q267" s="82"/>
    </row>
    <row r="268" spans="1:17" ht="17.25" customHeight="1">
      <c r="A268" s="78"/>
      <c r="B268" s="92"/>
      <c r="C268" s="80"/>
      <c r="D268" s="32">
        <v>2023</v>
      </c>
      <c r="E268" s="52">
        <f t="shared" si="42"/>
        <v>3.7012</v>
      </c>
      <c r="F268" s="52">
        <v>0</v>
      </c>
      <c r="G268" s="52">
        <v>3.7012</v>
      </c>
      <c r="H268" s="52">
        <v>0</v>
      </c>
      <c r="I268" s="63">
        <v>0</v>
      </c>
      <c r="J268" s="82" t="s">
        <v>166</v>
      </c>
      <c r="K268" s="82"/>
      <c r="L268" s="82"/>
      <c r="M268" s="82"/>
      <c r="N268" s="82"/>
      <c r="O268" s="82"/>
      <c r="P268" s="82"/>
      <c r="Q268" s="82"/>
    </row>
    <row r="269" spans="1:17" ht="17.25" customHeight="1">
      <c r="A269" s="78"/>
      <c r="B269" s="92"/>
      <c r="C269" s="80"/>
      <c r="D269" s="32">
        <v>2024</v>
      </c>
      <c r="E269" s="52">
        <f t="shared" si="42"/>
        <v>3.7012</v>
      </c>
      <c r="F269" s="52">
        <v>0</v>
      </c>
      <c r="G269" s="52">
        <v>3.7012</v>
      </c>
      <c r="H269" s="52">
        <v>0</v>
      </c>
      <c r="I269" s="63">
        <v>0</v>
      </c>
      <c r="J269" s="82" t="s">
        <v>166</v>
      </c>
      <c r="K269" s="82"/>
      <c r="L269" s="82"/>
      <c r="M269" s="82"/>
      <c r="N269" s="82"/>
      <c r="O269" s="82"/>
      <c r="P269" s="82"/>
      <c r="Q269" s="82"/>
    </row>
    <row r="270" spans="1:17" ht="17.25" customHeight="1">
      <c r="A270" s="78"/>
      <c r="B270" s="92"/>
      <c r="C270" s="80"/>
      <c r="D270" s="32">
        <v>2025</v>
      </c>
      <c r="E270" s="52">
        <f t="shared" si="42"/>
        <v>3.7012</v>
      </c>
      <c r="F270" s="52">
        <v>0</v>
      </c>
      <c r="G270" s="52">
        <v>3.7012</v>
      </c>
      <c r="H270" s="52">
        <v>0</v>
      </c>
      <c r="I270" s="63">
        <v>0</v>
      </c>
      <c r="J270" s="82" t="s">
        <v>166</v>
      </c>
      <c r="K270" s="82"/>
      <c r="L270" s="82"/>
      <c r="M270" s="82"/>
      <c r="N270" s="82"/>
      <c r="O270" s="82"/>
      <c r="P270" s="82"/>
      <c r="Q270" s="82"/>
    </row>
    <row r="271" spans="1:17" ht="17.25" customHeight="1">
      <c r="A271" s="78"/>
      <c r="B271" s="92"/>
      <c r="C271" s="80"/>
      <c r="D271" s="32">
        <v>2026</v>
      </c>
      <c r="E271" s="52">
        <f t="shared" si="42"/>
        <v>3.7012</v>
      </c>
      <c r="F271" s="52">
        <v>0</v>
      </c>
      <c r="G271" s="52">
        <v>3.7012</v>
      </c>
      <c r="H271" s="52">
        <v>0</v>
      </c>
      <c r="I271" s="63">
        <v>0</v>
      </c>
      <c r="J271" s="82" t="s">
        <v>166</v>
      </c>
      <c r="K271" s="82"/>
      <c r="L271" s="82"/>
      <c r="M271" s="82"/>
      <c r="N271" s="82"/>
      <c r="O271" s="82"/>
      <c r="P271" s="82"/>
      <c r="Q271" s="82"/>
    </row>
    <row r="272" spans="1:17" ht="15">
      <c r="A272" s="78" t="s">
        <v>162</v>
      </c>
      <c r="B272" s="92" t="s">
        <v>199</v>
      </c>
      <c r="C272" s="80" t="s">
        <v>23</v>
      </c>
      <c r="D272" s="35" t="s">
        <v>19</v>
      </c>
      <c r="E272" s="52">
        <f>SUM(E273:E279)</f>
        <v>0.1392</v>
      </c>
      <c r="F272" s="52">
        <f>SUM(F273:F279)</f>
        <v>0</v>
      </c>
      <c r="G272" s="52">
        <f>SUM(G273:G279)</f>
        <v>0.1392</v>
      </c>
      <c r="H272" s="52">
        <f>SUM(H273:H279)</f>
        <v>0</v>
      </c>
      <c r="I272" s="63">
        <f>SUM(I273:I279)</f>
        <v>0</v>
      </c>
      <c r="J272" s="82" t="s">
        <v>165</v>
      </c>
      <c r="K272" s="82"/>
      <c r="L272" s="82"/>
      <c r="M272" s="82"/>
      <c r="N272" s="82"/>
      <c r="O272" s="82"/>
      <c r="P272" s="82"/>
      <c r="Q272" s="82"/>
    </row>
    <row r="273" spans="1:17" ht="15">
      <c r="A273" s="78"/>
      <c r="B273" s="92"/>
      <c r="C273" s="80"/>
      <c r="D273" s="32">
        <v>2020</v>
      </c>
      <c r="E273" s="52">
        <f aca="true" t="shared" si="43" ref="E273:E279">F273+G273+H273+I273</f>
        <v>0.0176</v>
      </c>
      <c r="F273" s="52">
        <v>0</v>
      </c>
      <c r="G273" s="52">
        <v>0.0176</v>
      </c>
      <c r="H273" s="52">
        <v>0</v>
      </c>
      <c r="I273" s="63">
        <v>0</v>
      </c>
      <c r="J273" s="82" t="s">
        <v>166</v>
      </c>
      <c r="K273" s="82"/>
      <c r="L273" s="82"/>
      <c r="M273" s="82"/>
      <c r="N273" s="82"/>
      <c r="O273" s="82"/>
      <c r="P273" s="82"/>
      <c r="Q273" s="82"/>
    </row>
    <row r="274" spans="1:17" ht="15">
      <c r="A274" s="78"/>
      <c r="B274" s="92"/>
      <c r="C274" s="80"/>
      <c r="D274" s="32">
        <v>2021</v>
      </c>
      <c r="E274" s="52">
        <f t="shared" si="43"/>
        <v>0.0181</v>
      </c>
      <c r="F274" s="52">
        <v>0</v>
      </c>
      <c r="G274" s="52">
        <v>0.0181</v>
      </c>
      <c r="H274" s="52">
        <v>0</v>
      </c>
      <c r="I274" s="63">
        <v>0</v>
      </c>
      <c r="J274" s="82" t="s">
        <v>166</v>
      </c>
      <c r="K274" s="82"/>
      <c r="L274" s="82"/>
      <c r="M274" s="82"/>
      <c r="N274" s="82"/>
      <c r="O274" s="82"/>
      <c r="P274" s="82"/>
      <c r="Q274" s="82"/>
    </row>
    <row r="275" spans="1:17" ht="15">
      <c r="A275" s="78"/>
      <c r="B275" s="92"/>
      <c r="C275" s="80"/>
      <c r="D275" s="32">
        <v>2022</v>
      </c>
      <c r="E275" s="52">
        <f t="shared" si="43"/>
        <v>0.0227</v>
      </c>
      <c r="F275" s="52">
        <v>0</v>
      </c>
      <c r="G275" s="52">
        <v>0.0227</v>
      </c>
      <c r="H275" s="52">
        <v>0</v>
      </c>
      <c r="I275" s="63">
        <v>0</v>
      </c>
      <c r="J275" s="82" t="s">
        <v>166</v>
      </c>
      <c r="K275" s="82"/>
      <c r="L275" s="82"/>
      <c r="M275" s="82"/>
      <c r="N275" s="82"/>
      <c r="O275" s="82"/>
      <c r="P275" s="82"/>
      <c r="Q275" s="82"/>
    </row>
    <row r="276" spans="1:17" ht="15">
      <c r="A276" s="78"/>
      <c r="B276" s="92"/>
      <c r="C276" s="80"/>
      <c r="D276" s="32">
        <v>2023</v>
      </c>
      <c r="E276" s="52">
        <f t="shared" si="43"/>
        <v>0.0202</v>
      </c>
      <c r="F276" s="52">
        <v>0</v>
      </c>
      <c r="G276" s="52">
        <v>0.0202</v>
      </c>
      <c r="H276" s="52">
        <v>0</v>
      </c>
      <c r="I276" s="63">
        <v>0</v>
      </c>
      <c r="J276" s="82" t="s">
        <v>166</v>
      </c>
      <c r="K276" s="82"/>
      <c r="L276" s="82"/>
      <c r="M276" s="82"/>
      <c r="N276" s="82"/>
      <c r="O276" s="82"/>
      <c r="P276" s="82"/>
      <c r="Q276" s="82"/>
    </row>
    <row r="277" spans="1:17" ht="15">
      <c r="A277" s="78"/>
      <c r="B277" s="92"/>
      <c r="C277" s="80"/>
      <c r="D277" s="32">
        <v>2024</v>
      </c>
      <c r="E277" s="52">
        <f t="shared" si="43"/>
        <v>0.0202</v>
      </c>
      <c r="F277" s="52">
        <v>0</v>
      </c>
      <c r="G277" s="52">
        <v>0.0202</v>
      </c>
      <c r="H277" s="52">
        <v>0</v>
      </c>
      <c r="I277" s="63">
        <v>0</v>
      </c>
      <c r="J277" s="82" t="s">
        <v>166</v>
      </c>
      <c r="K277" s="82"/>
      <c r="L277" s="82"/>
      <c r="M277" s="82"/>
      <c r="N277" s="82"/>
      <c r="O277" s="82"/>
      <c r="P277" s="82"/>
      <c r="Q277" s="82"/>
    </row>
    <row r="278" spans="1:17" ht="15">
      <c r="A278" s="78"/>
      <c r="B278" s="92"/>
      <c r="C278" s="80"/>
      <c r="D278" s="32">
        <v>2025</v>
      </c>
      <c r="E278" s="52">
        <f t="shared" si="43"/>
        <v>0.0202</v>
      </c>
      <c r="F278" s="52">
        <v>0</v>
      </c>
      <c r="G278" s="52">
        <v>0.0202</v>
      </c>
      <c r="H278" s="52">
        <v>0</v>
      </c>
      <c r="I278" s="63">
        <v>0</v>
      </c>
      <c r="J278" s="82" t="s">
        <v>166</v>
      </c>
      <c r="K278" s="82"/>
      <c r="L278" s="82"/>
      <c r="M278" s="82"/>
      <c r="N278" s="82"/>
      <c r="O278" s="82"/>
      <c r="P278" s="82"/>
      <c r="Q278" s="82"/>
    </row>
    <row r="279" spans="1:17" ht="51.75" customHeight="1">
      <c r="A279" s="78"/>
      <c r="B279" s="92"/>
      <c r="C279" s="80"/>
      <c r="D279" s="32">
        <v>2026</v>
      </c>
      <c r="E279" s="52">
        <f t="shared" si="43"/>
        <v>0.0202</v>
      </c>
      <c r="F279" s="52">
        <v>0</v>
      </c>
      <c r="G279" s="52">
        <v>0.0202</v>
      </c>
      <c r="H279" s="52">
        <v>0</v>
      </c>
      <c r="I279" s="63">
        <v>0</v>
      </c>
      <c r="J279" s="82" t="s">
        <v>166</v>
      </c>
      <c r="K279" s="82"/>
      <c r="L279" s="82"/>
      <c r="M279" s="82"/>
      <c r="N279" s="82"/>
      <c r="O279" s="82"/>
      <c r="P279" s="82"/>
      <c r="Q279" s="82"/>
    </row>
    <row r="280" spans="1:17" ht="15">
      <c r="A280" s="78" t="s">
        <v>163</v>
      </c>
      <c r="B280" s="92" t="s">
        <v>200</v>
      </c>
      <c r="C280" s="80" t="s">
        <v>23</v>
      </c>
      <c r="D280" s="35" t="s">
        <v>19</v>
      </c>
      <c r="E280" s="52">
        <f>SUM(E281:E287)</f>
        <v>2.2469</v>
      </c>
      <c r="F280" s="52">
        <f>SUM(F281:F287)</f>
        <v>0</v>
      </c>
      <c r="G280" s="52">
        <f>SUM(G281:G287)</f>
        <v>2.2469</v>
      </c>
      <c r="H280" s="52">
        <f>SUM(H281:H287)</f>
        <v>0</v>
      </c>
      <c r="I280" s="63">
        <f>SUM(I281:I287)</f>
        <v>0</v>
      </c>
      <c r="J280" s="99" t="s">
        <v>165</v>
      </c>
      <c r="K280" s="99"/>
      <c r="L280" s="99"/>
      <c r="M280" s="99"/>
      <c r="N280" s="99"/>
      <c r="O280" s="99"/>
      <c r="P280" s="99"/>
      <c r="Q280" s="99"/>
    </row>
    <row r="281" spans="1:17" ht="15">
      <c r="A281" s="78"/>
      <c r="B281" s="92"/>
      <c r="C281" s="80"/>
      <c r="D281" s="32">
        <v>2020</v>
      </c>
      <c r="E281" s="52">
        <f aca="true" t="shared" si="44" ref="E281:E287">F281+G281+H281+I281</f>
        <v>0.309</v>
      </c>
      <c r="F281" s="52">
        <v>0</v>
      </c>
      <c r="G281" s="52">
        <v>0.309</v>
      </c>
      <c r="H281" s="52">
        <v>0</v>
      </c>
      <c r="I281" s="63">
        <v>0</v>
      </c>
      <c r="J281" s="99" t="s">
        <v>166</v>
      </c>
      <c r="K281" s="99"/>
      <c r="L281" s="99"/>
      <c r="M281" s="99"/>
      <c r="N281" s="99"/>
      <c r="O281" s="99"/>
      <c r="P281" s="99"/>
      <c r="Q281" s="99"/>
    </row>
    <row r="282" spans="1:17" ht="15">
      <c r="A282" s="78"/>
      <c r="B282" s="92"/>
      <c r="C282" s="80"/>
      <c r="D282" s="32">
        <v>2021</v>
      </c>
      <c r="E282" s="52">
        <f t="shared" si="44"/>
        <v>0.3336</v>
      </c>
      <c r="F282" s="52">
        <v>0</v>
      </c>
      <c r="G282" s="52">
        <v>0.3336</v>
      </c>
      <c r="H282" s="52">
        <v>0</v>
      </c>
      <c r="I282" s="63">
        <v>0</v>
      </c>
      <c r="J282" s="99" t="s">
        <v>166</v>
      </c>
      <c r="K282" s="99"/>
      <c r="L282" s="99"/>
      <c r="M282" s="99"/>
      <c r="N282" s="99"/>
      <c r="O282" s="99"/>
      <c r="P282" s="99"/>
      <c r="Q282" s="99"/>
    </row>
    <row r="283" spans="1:17" ht="15">
      <c r="A283" s="78"/>
      <c r="B283" s="92"/>
      <c r="C283" s="80"/>
      <c r="D283" s="32">
        <v>2022</v>
      </c>
      <c r="E283" s="52">
        <f t="shared" si="44"/>
        <v>0.3539</v>
      </c>
      <c r="F283" s="52">
        <v>0</v>
      </c>
      <c r="G283" s="52">
        <v>0.3539</v>
      </c>
      <c r="H283" s="52">
        <v>0</v>
      </c>
      <c r="I283" s="63">
        <v>0</v>
      </c>
      <c r="J283" s="99" t="s">
        <v>166</v>
      </c>
      <c r="K283" s="99"/>
      <c r="L283" s="99"/>
      <c r="M283" s="99"/>
      <c r="N283" s="99"/>
      <c r="O283" s="99"/>
      <c r="P283" s="99"/>
      <c r="Q283" s="99"/>
    </row>
    <row r="284" spans="1:17" ht="15">
      <c r="A284" s="78"/>
      <c r="B284" s="92"/>
      <c r="C284" s="80"/>
      <c r="D284" s="32">
        <v>2023</v>
      </c>
      <c r="E284" s="52">
        <f t="shared" si="44"/>
        <v>0.3126</v>
      </c>
      <c r="F284" s="52">
        <v>0</v>
      </c>
      <c r="G284" s="52">
        <v>0.3126</v>
      </c>
      <c r="H284" s="52">
        <v>0</v>
      </c>
      <c r="I284" s="63">
        <v>0</v>
      </c>
      <c r="J284" s="99" t="s">
        <v>166</v>
      </c>
      <c r="K284" s="99"/>
      <c r="L284" s="99"/>
      <c r="M284" s="99"/>
      <c r="N284" s="99"/>
      <c r="O284" s="99"/>
      <c r="P284" s="99"/>
      <c r="Q284" s="99"/>
    </row>
    <row r="285" spans="1:17" ht="15">
      <c r="A285" s="78"/>
      <c r="B285" s="92"/>
      <c r="C285" s="80"/>
      <c r="D285" s="32">
        <v>2024</v>
      </c>
      <c r="E285" s="52">
        <f t="shared" si="44"/>
        <v>0.3126</v>
      </c>
      <c r="F285" s="52">
        <v>0</v>
      </c>
      <c r="G285" s="52">
        <v>0.3126</v>
      </c>
      <c r="H285" s="52">
        <v>0</v>
      </c>
      <c r="I285" s="63">
        <v>0</v>
      </c>
      <c r="J285" s="99" t="s">
        <v>166</v>
      </c>
      <c r="K285" s="99"/>
      <c r="L285" s="99"/>
      <c r="M285" s="99"/>
      <c r="N285" s="99"/>
      <c r="O285" s="99"/>
      <c r="P285" s="99"/>
      <c r="Q285" s="99"/>
    </row>
    <row r="286" spans="1:17" ht="15">
      <c r="A286" s="78"/>
      <c r="B286" s="92"/>
      <c r="C286" s="80"/>
      <c r="D286" s="32">
        <v>2025</v>
      </c>
      <c r="E286" s="52">
        <f t="shared" si="44"/>
        <v>0.3126</v>
      </c>
      <c r="F286" s="52">
        <v>0</v>
      </c>
      <c r="G286" s="52">
        <v>0.3126</v>
      </c>
      <c r="H286" s="52">
        <v>0</v>
      </c>
      <c r="I286" s="63">
        <v>0</v>
      </c>
      <c r="J286" s="99" t="s">
        <v>166</v>
      </c>
      <c r="K286" s="99"/>
      <c r="L286" s="99"/>
      <c r="M286" s="99"/>
      <c r="N286" s="99"/>
      <c r="O286" s="99"/>
      <c r="P286" s="99"/>
      <c r="Q286" s="99"/>
    </row>
    <row r="287" spans="1:17" ht="73.5" customHeight="1">
      <c r="A287" s="78"/>
      <c r="B287" s="92"/>
      <c r="C287" s="80"/>
      <c r="D287" s="32">
        <v>2026</v>
      </c>
      <c r="E287" s="52">
        <f t="shared" si="44"/>
        <v>0.3126</v>
      </c>
      <c r="F287" s="52">
        <v>0</v>
      </c>
      <c r="G287" s="52">
        <v>0.3126</v>
      </c>
      <c r="H287" s="52">
        <v>0</v>
      </c>
      <c r="I287" s="63">
        <v>0</v>
      </c>
      <c r="J287" s="99" t="s">
        <v>166</v>
      </c>
      <c r="K287" s="99"/>
      <c r="L287" s="99"/>
      <c r="M287" s="99"/>
      <c r="N287" s="99"/>
      <c r="O287" s="99"/>
      <c r="P287" s="99"/>
      <c r="Q287" s="99"/>
    </row>
    <row r="288" spans="1:17" ht="15">
      <c r="A288" s="78" t="s">
        <v>243</v>
      </c>
      <c r="B288" s="92" t="s">
        <v>245</v>
      </c>
      <c r="C288" s="80" t="s">
        <v>23</v>
      </c>
      <c r="D288" s="35" t="s">
        <v>19</v>
      </c>
      <c r="E288" s="52">
        <f>SUM(E289:E295)</f>
        <v>0.0002</v>
      </c>
      <c r="F288" s="52">
        <f>SUM(F289:F295)</f>
        <v>0</v>
      </c>
      <c r="G288" s="52">
        <f>SUM(G289:G295)</f>
        <v>0.0002</v>
      </c>
      <c r="H288" s="52">
        <f>SUM(H289:H295)</f>
        <v>0</v>
      </c>
      <c r="I288" s="63">
        <f>SUM(I289:I295)</f>
        <v>0</v>
      </c>
      <c r="J288" s="99" t="s">
        <v>165</v>
      </c>
      <c r="K288" s="99"/>
      <c r="L288" s="99"/>
      <c r="M288" s="99"/>
      <c r="N288" s="99"/>
      <c r="O288" s="99"/>
      <c r="P288" s="99"/>
      <c r="Q288" s="99"/>
    </row>
    <row r="289" spans="1:17" ht="15">
      <c r="A289" s="78"/>
      <c r="B289" s="92"/>
      <c r="C289" s="80"/>
      <c r="D289" s="32">
        <v>2020</v>
      </c>
      <c r="E289" s="52">
        <f aca="true" t="shared" si="45" ref="E289:E295">F289+G289+H289+I289</f>
        <v>0.0002</v>
      </c>
      <c r="F289" s="52">
        <v>0</v>
      </c>
      <c r="G289" s="52">
        <v>0.0002</v>
      </c>
      <c r="H289" s="52">
        <v>0</v>
      </c>
      <c r="I289" s="63">
        <v>0</v>
      </c>
      <c r="J289" s="99" t="s">
        <v>166</v>
      </c>
      <c r="K289" s="99"/>
      <c r="L289" s="99"/>
      <c r="M289" s="99"/>
      <c r="N289" s="99"/>
      <c r="O289" s="99"/>
      <c r="P289" s="99"/>
      <c r="Q289" s="99"/>
    </row>
    <row r="290" spans="1:17" ht="15">
      <c r="A290" s="78"/>
      <c r="B290" s="92"/>
      <c r="C290" s="80"/>
      <c r="D290" s="32">
        <v>2021</v>
      </c>
      <c r="E290" s="52">
        <f t="shared" si="45"/>
        <v>0</v>
      </c>
      <c r="F290" s="52">
        <v>0</v>
      </c>
      <c r="G290" s="52">
        <v>0</v>
      </c>
      <c r="H290" s="52">
        <v>0</v>
      </c>
      <c r="I290" s="63">
        <v>0</v>
      </c>
      <c r="J290" s="99" t="s">
        <v>126</v>
      </c>
      <c r="K290" s="99"/>
      <c r="L290" s="99"/>
      <c r="M290" s="99"/>
      <c r="N290" s="99"/>
      <c r="O290" s="99"/>
      <c r="P290" s="99"/>
      <c r="Q290" s="99"/>
    </row>
    <row r="291" spans="1:17" ht="15">
      <c r="A291" s="78"/>
      <c r="B291" s="92"/>
      <c r="C291" s="80"/>
      <c r="D291" s="32">
        <v>2022</v>
      </c>
      <c r="E291" s="52">
        <f t="shared" si="45"/>
        <v>0</v>
      </c>
      <c r="F291" s="52">
        <v>0</v>
      </c>
      <c r="G291" s="52">
        <v>0</v>
      </c>
      <c r="H291" s="52">
        <v>0</v>
      </c>
      <c r="I291" s="63">
        <v>0</v>
      </c>
      <c r="J291" s="99" t="s">
        <v>126</v>
      </c>
      <c r="K291" s="99"/>
      <c r="L291" s="99"/>
      <c r="M291" s="99"/>
      <c r="N291" s="99"/>
      <c r="O291" s="99"/>
      <c r="P291" s="99"/>
      <c r="Q291" s="99"/>
    </row>
    <row r="292" spans="1:17" ht="15">
      <c r="A292" s="78"/>
      <c r="B292" s="92"/>
      <c r="C292" s="80"/>
      <c r="D292" s="32">
        <v>2023</v>
      </c>
      <c r="E292" s="52">
        <f t="shared" si="45"/>
        <v>0</v>
      </c>
      <c r="F292" s="52">
        <v>0</v>
      </c>
      <c r="G292" s="52">
        <v>0</v>
      </c>
      <c r="H292" s="52">
        <v>0</v>
      </c>
      <c r="I292" s="63">
        <v>0</v>
      </c>
      <c r="J292" s="99" t="s">
        <v>126</v>
      </c>
      <c r="K292" s="99"/>
      <c r="L292" s="99"/>
      <c r="M292" s="99"/>
      <c r="N292" s="99"/>
      <c r="O292" s="99"/>
      <c r="P292" s="99"/>
      <c r="Q292" s="99"/>
    </row>
    <row r="293" spans="1:17" ht="15">
      <c r="A293" s="78"/>
      <c r="B293" s="92"/>
      <c r="C293" s="80"/>
      <c r="D293" s="32">
        <v>2024</v>
      </c>
      <c r="E293" s="52">
        <f t="shared" si="45"/>
        <v>0</v>
      </c>
      <c r="F293" s="52">
        <v>0</v>
      </c>
      <c r="G293" s="52">
        <v>0</v>
      </c>
      <c r="H293" s="52">
        <v>0</v>
      </c>
      <c r="I293" s="63">
        <v>0</v>
      </c>
      <c r="J293" s="99" t="s">
        <v>126</v>
      </c>
      <c r="K293" s="99"/>
      <c r="L293" s="99"/>
      <c r="M293" s="99"/>
      <c r="N293" s="99"/>
      <c r="O293" s="99"/>
      <c r="P293" s="99"/>
      <c r="Q293" s="99"/>
    </row>
    <row r="294" spans="1:17" ht="15">
      <c r="A294" s="78"/>
      <c r="B294" s="92"/>
      <c r="C294" s="80"/>
      <c r="D294" s="32">
        <v>2025</v>
      </c>
      <c r="E294" s="52">
        <f t="shared" si="45"/>
        <v>0</v>
      </c>
      <c r="F294" s="52">
        <v>0</v>
      </c>
      <c r="G294" s="52">
        <v>0</v>
      </c>
      <c r="H294" s="52">
        <v>0</v>
      </c>
      <c r="I294" s="63">
        <v>0</v>
      </c>
      <c r="J294" s="99" t="s">
        <v>126</v>
      </c>
      <c r="K294" s="99"/>
      <c r="L294" s="99"/>
      <c r="M294" s="99"/>
      <c r="N294" s="99"/>
      <c r="O294" s="99"/>
      <c r="P294" s="99"/>
      <c r="Q294" s="99"/>
    </row>
    <row r="295" spans="1:17" ht="15">
      <c r="A295" s="78"/>
      <c r="B295" s="92"/>
      <c r="C295" s="80"/>
      <c r="D295" s="32">
        <v>2026</v>
      </c>
      <c r="E295" s="52">
        <f t="shared" si="45"/>
        <v>0</v>
      </c>
      <c r="F295" s="52">
        <v>0</v>
      </c>
      <c r="G295" s="52">
        <v>0</v>
      </c>
      <c r="H295" s="52">
        <v>0</v>
      </c>
      <c r="I295" s="63">
        <v>0</v>
      </c>
      <c r="J295" s="99" t="s">
        <v>126</v>
      </c>
      <c r="K295" s="99"/>
      <c r="L295" s="99"/>
      <c r="M295" s="99"/>
      <c r="N295" s="99"/>
      <c r="O295" s="99"/>
      <c r="P295" s="99"/>
      <c r="Q295" s="99"/>
    </row>
    <row r="296" spans="1:17" s="39" customFormat="1" ht="14.25" customHeight="1">
      <c r="A296" s="106" t="s">
        <v>164</v>
      </c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1:17" ht="15">
      <c r="A297" s="78"/>
      <c r="B297" s="78"/>
      <c r="C297" s="78"/>
      <c r="D297" s="35" t="s">
        <v>19</v>
      </c>
      <c r="E297" s="59">
        <f>SUM(E298:E304)</f>
        <v>44051.82184034001</v>
      </c>
      <c r="F297" s="59">
        <f>SUM(F298:F304)</f>
        <v>12732.00434644</v>
      </c>
      <c r="G297" s="59">
        <f>SUM(G298:G304)</f>
        <v>30866.052273429996</v>
      </c>
      <c r="H297" s="59">
        <f>SUM(H298:H304)</f>
        <v>453.76522047000003</v>
      </c>
      <c r="I297" s="64">
        <f>SUM(I298:I304)</f>
        <v>0</v>
      </c>
      <c r="J297" s="89" t="s">
        <v>126</v>
      </c>
      <c r="K297" s="89"/>
      <c r="L297" s="89"/>
      <c r="M297" s="89"/>
      <c r="N297" s="89"/>
      <c r="O297" s="89"/>
      <c r="P297" s="89"/>
      <c r="Q297" s="89"/>
    </row>
    <row r="298" spans="1:17" ht="15">
      <c r="A298" s="78"/>
      <c r="B298" s="78"/>
      <c r="C298" s="78"/>
      <c r="D298" s="32">
        <v>2020</v>
      </c>
      <c r="E298" s="58">
        <f>F298+G298+H298+I298</f>
        <v>6319.510064340002</v>
      </c>
      <c r="F298" s="56">
        <f>F22+F30+F38+F54+F62+F70+F78+F86+F94+F102+F110+F118+F126+F134+F142+F150+F241+F249+F257+F265+F273+F281+F158+F46+F166+F174+F182+F190+F198+F206+F214+F289+F230+F222</f>
        <v>1887.54077044</v>
      </c>
      <c r="G298" s="56">
        <f aca="true" t="shared" si="46" ref="F298:G304">G22+G30+G38+G54+G62+G70+G78+G86+G94+G102+G110+G118+G126+G134+G142+G150+G241+G249+G257+G265+G273+G281+G158+G46+G166+G174+G182+G190+G198+G206+G214+G289+G230+G222</f>
        <v>4294.2772734300015</v>
      </c>
      <c r="H298" s="60">
        <f aca="true" t="shared" si="47" ref="H298:H304">H22+H30+H38+H54+H62+H70+H78+H86+H94+H102+H110+H118+H126+H134+H142+H150+H241+H249+H257+H265+H273+H281+H158+H46+H166+H174+H182+H190+H198+H289+H214+H206+H222</f>
        <v>137.69202047</v>
      </c>
      <c r="I298" s="65">
        <f aca="true" t="shared" si="48" ref="I298:I304">I22+I30+I38+I54+I62+I70+I78+I86+I94+I102+I110+I118+I126+I134+I142+I150+I241+I249+I257+I265+I273+I281+I158+I46+I166+I174+I182+I190</f>
        <v>0</v>
      </c>
      <c r="J298" s="89"/>
      <c r="K298" s="89"/>
      <c r="L298" s="89"/>
      <c r="M298" s="89"/>
      <c r="N298" s="89"/>
      <c r="O298" s="89"/>
      <c r="P298" s="89"/>
      <c r="Q298" s="89"/>
    </row>
    <row r="299" spans="1:17" ht="15">
      <c r="A299" s="78"/>
      <c r="B299" s="78"/>
      <c r="C299" s="78"/>
      <c r="D299" s="32">
        <v>2021</v>
      </c>
      <c r="E299" s="61">
        <f aca="true" t="shared" si="49" ref="E299:E304">F299+G299+H299+I299</f>
        <v>6441.765235999999</v>
      </c>
      <c r="F299" s="56">
        <f t="shared" si="46"/>
        <v>1715.563236</v>
      </c>
      <c r="G299" s="56">
        <f t="shared" si="46"/>
        <v>4568.165399999999</v>
      </c>
      <c r="H299" s="60">
        <f t="shared" si="47"/>
        <v>158.0366</v>
      </c>
      <c r="I299" s="65">
        <f t="shared" si="48"/>
        <v>0</v>
      </c>
      <c r="J299" s="89"/>
      <c r="K299" s="89"/>
      <c r="L299" s="89"/>
      <c r="M299" s="89"/>
      <c r="N299" s="89"/>
      <c r="O299" s="89"/>
      <c r="P299" s="89"/>
      <c r="Q299" s="89"/>
    </row>
    <row r="300" spans="1:17" ht="15">
      <c r="A300" s="78"/>
      <c r="B300" s="78"/>
      <c r="C300" s="78"/>
      <c r="D300" s="32">
        <v>2022</v>
      </c>
      <c r="E300" s="61">
        <f t="shared" si="49"/>
        <v>6757.587500000002</v>
      </c>
      <c r="F300" s="56">
        <f t="shared" si="46"/>
        <v>1774.6305000000002</v>
      </c>
      <c r="G300" s="56">
        <f t="shared" si="46"/>
        <v>4824.920400000002</v>
      </c>
      <c r="H300" s="60">
        <f t="shared" si="47"/>
        <v>158.0366</v>
      </c>
      <c r="I300" s="65">
        <f t="shared" si="48"/>
        <v>0</v>
      </c>
      <c r="J300" s="89"/>
      <c r="K300" s="89"/>
      <c r="L300" s="89"/>
      <c r="M300" s="89"/>
      <c r="N300" s="89"/>
      <c r="O300" s="89"/>
      <c r="P300" s="89"/>
      <c r="Q300" s="89"/>
    </row>
    <row r="301" spans="1:17" ht="15">
      <c r="A301" s="78"/>
      <c r="B301" s="78"/>
      <c r="C301" s="78"/>
      <c r="D301" s="32">
        <v>2023</v>
      </c>
      <c r="E301" s="53">
        <f t="shared" si="49"/>
        <v>6133.23976</v>
      </c>
      <c r="F301" s="56">
        <f t="shared" si="46"/>
        <v>1838.56746</v>
      </c>
      <c r="G301" s="56">
        <f t="shared" si="46"/>
        <v>4294.6723</v>
      </c>
      <c r="H301" s="60">
        <f t="shared" si="47"/>
        <v>0</v>
      </c>
      <c r="I301" s="65">
        <f t="shared" si="48"/>
        <v>0</v>
      </c>
      <c r="J301" s="89"/>
      <c r="K301" s="89"/>
      <c r="L301" s="89"/>
      <c r="M301" s="89"/>
      <c r="N301" s="89"/>
      <c r="O301" s="89"/>
      <c r="P301" s="89"/>
      <c r="Q301" s="89"/>
    </row>
    <row r="302" spans="1:17" ht="15">
      <c r="A302" s="78"/>
      <c r="B302" s="78"/>
      <c r="C302" s="78"/>
      <c r="D302" s="32">
        <v>2024</v>
      </c>
      <c r="E302" s="53">
        <f t="shared" si="49"/>
        <v>6133.23976</v>
      </c>
      <c r="F302" s="56">
        <f t="shared" si="46"/>
        <v>1838.56746</v>
      </c>
      <c r="G302" s="56">
        <f t="shared" si="46"/>
        <v>4294.6723</v>
      </c>
      <c r="H302" s="60">
        <f t="shared" si="47"/>
        <v>0</v>
      </c>
      <c r="I302" s="65">
        <f t="shared" si="48"/>
        <v>0</v>
      </c>
      <c r="J302" s="89"/>
      <c r="K302" s="89"/>
      <c r="L302" s="89"/>
      <c r="M302" s="89"/>
      <c r="N302" s="89"/>
      <c r="O302" s="89"/>
      <c r="P302" s="89"/>
      <c r="Q302" s="89"/>
    </row>
    <row r="303" spans="1:17" ht="15">
      <c r="A303" s="78"/>
      <c r="B303" s="78"/>
      <c r="C303" s="78"/>
      <c r="D303" s="32">
        <v>2025</v>
      </c>
      <c r="E303" s="53">
        <f t="shared" si="49"/>
        <v>6133.23976</v>
      </c>
      <c r="F303" s="56">
        <f t="shared" si="46"/>
        <v>1838.56746</v>
      </c>
      <c r="G303" s="56">
        <f t="shared" si="46"/>
        <v>4294.6723</v>
      </c>
      <c r="H303" s="60">
        <f t="shared" si="47"/>
        <v>0</v>
      </c>
      <c r="I303" s="65">
        <f t="shared" si="48"/>
        <v>0</v>
      </c>
      <c r="J303" s="89"/>
      <c r="K303" s="89"/>
      <c r="L303" s="89"/>
      <c r="M303" s="89"/>
      <c r="N303" s="89"/>
      <c r="O303" s="89"/>
      <c r="P303" s="89"/>
      <c r="Q303" s="89"/>
    </row>
    <row r="304" spans="1:17" ht="15">
      <c r="A304" s="78"/>
      <c r="B304" s="78"/>
      <c r="C304" s="78"/>
      <c r="D304" s="32">
        <v>2026</v>
      </c>
      <c r="E304" s="53">
        <f t="shared" si="49"/>
        <v>6133.23976</v>
      </c>
      <c r="F304" s="56">
        <f t="shared" si="46"/>
        <v>1838.56746</v>
      </c>
      <c r="G304" s="56">
        <f t="shared" si="46"/>
        <v>4294.6723</v>
      </c>
      <c r="H304" s="60">
        <f t="shared" si="47"/>
        <v>0</v>
      </c>
      <c r="I304" s="65">
        <f t="shared" si="48"/>
        <v>0</v>
      </c>
      <c r="J304" s="89"/>
      <c r="K304" s="89"/>
      <c r="L304" s="89"/>
      <c r="M304" s="89"/>
      <c r="N304" s="89"/>
      <c r="O304" s="89"/>
      <c r="P304" s="89"/>
      <c r="Q304" s="89"/>
    </row>
    <row r="305" spans="5:7" ht="15">
      <c r="E305" s="43"/>
      <c r="F305" s="43"/>
      <c r="G305" s="43"/>
    </row>
    <row r="308" ht="15">
      <c r="J308" s="40"/>
    </row>
    <row r="309" ht="15">
      <c r="J309" s="40"/>
    </row>
    <row r="310" ht="15">
      <c r="G310" s="41"/>
    </row>
    <row r="311" ht="15">
      <c r="E311" s="62"/>
    </row>
    <row r="318" ht="15">
      <c r="J318" s="40"/>
    </row>
  </sheetData>
  <sheetProtection/>
  <mergeCells count="476">
    <mergeCell ref="J228:Q228"/>
    <mergeCell ref="A221:A228"/>
    <mergeCell ref="B221:B228"/>
    <mergeCell ref="C221:C228"/>
    <mergeCell ref="J221:Q221"/>
    <mergeCell ref="J222:Q222"/>
    <mergeCell ref="J223:Q223"/>
    <mergeCell ref="J224:Q224"/>
    <mergeCell ref="J225:Q225"/>
    <mergeCell ref="J226:Q226"/>
    <mergeCell ref="J227:Q227"/>
    <mergeCell ref="J295:Q295"/>
    <mergeCell ref="A288:A295"/>
    <mergeCell ref="B288:B295"/>
    <mergeCell ref="C288:C295"/>
    <mergeCell ref="J288:Q288"/>
    <mergeCell ref="J289:Q289"/>
    <mergeCell ref="J290:Q290"/>
    <mergeCell ref="J291:Q291"/>
    <mergeCell ref="J292:Q292"/>
    <mergeCell ref="J219:Q219"/>
    <mergeCell ref="J293:Q293"/>
    <mergeCell ref="J294:Q294"/>
    <mergeCell ref="J205:Q212"/>
    <mergeCell ref="A213:A220"/>
    <mergeCell ref="B213:B220"/>
    <mergeCell ref="C213:C220"/>
    <mergeCell ref="J213:Q213"/>
    <mergeCell ref="J214:Q214"/>
    <mergeCell ref="J215:Q215"/>
    <mergeCell ref="J201:Q201"/>
    <mergeCell ref="J217:Q217"/>
    <mergeCell ref="A205:A212"/>
    <mergeCell ref="B205:B212"/>
    <mergeCell ref="C205:C212"/>
    <mergeCell ref="J218:Q218"/>
    <mergeCell ref="J216:Q216"/>
    <mergeCell ref="J265:Q265"/>
    <mergeCell ref="J220:Q220"/>
    <mergeCell ref="J204:Q204"/>
    <mergeCell ref="A197:A204"/>
    <mergeCell ref="B197:B204"/>
    <mergeCell ref="C197:C204"/>
    <mergeCell ref="J197:Q197"/>
    <mergeCell ref="J198:Q198"/>
    <mergeCell ref="J199:Q199"/>
    <mergeCell ref="J200:Q200"/>
    <mergeCell ref="O126:Q126"/>
    <mergeCell ref="J104:Q104"/>
    <mergeCell ref="J202:Q202"/>
    <mergeCell ref="J266:Q266"/>
    <mergeCell ref="J203:Q203"/>
    <mergeCell ref="J97:Q97"/>
    <mergeCell ref="J98:Q98"/>
    <mergeCell ref="J99:Q99"/>
    <mergeCell ref="J250:Q250"/>
    <mergeCell ref="J257:Q257"/>
    <mergeCell ref="J262:Q262"/>
    <mergeCell ref="J270:Q270"/>
    <mergeCell ref="A45:A52"/>
    <mergeCell ref="B45:B52"/>
    <mergeCell ref="C45:C52"/>
    <mergeCell ref="J45:Q45"/>
    <mergeCell ref="J46:Q46"/>
    <mergeCell ref="J249:Q249"/>
    <mergeCell ref="C141:C148"/>
    <mergeCell ref="J70:M70"/>
    <mergeCell ref="J241:Q241"/>
    <mergeCell ref="J260:Q260"/>
    <mergeCell ref="J261:Q261"/>
    <mergeCell ref="J255:Q255"/>
    <mergeCell ref="J259:Q259"/>
    <mergeCell ref="J258:Q258"/>
    <mergeCell ref="J243:Q243"/>
    <mergeCell ref="J251:Q251"/>
    <mergeCell ref="J252:Q252"/>
    <mergeCell ref="J253:Q253"/>
    <mergeCell ref="J49:Q49"/>
    <mergeCell ref="J48:Q48"/>
    <mergeCell ref="J279:Q279"/>
    <mergeCell ref="J267:Q267"/>
    <mergeCell ref="J149:Q156"/>
    <mergeCell ref="J141:Q148"/>
    <mergeCell ref="J274:Q274"/>
    <mergeCell ref="J254:Q254"/>
    <mergeCell ref="J242:Q242"/>
    <mergeCell ref="J273:Q273"/>
    <mergeCell ref="J22:M22"/>
    <mergeCell ref="J23:M23"/>
    <mergeCell ref="N22:O22"/>
    <mergeCell ref="P41:Q41"/>
    <mergeCell ref="P42:Q42"/>
    <mergeCell ref="P43:Q43"/>
    <mergeCell ref="P23:Q23"/>
    <mergeCell ref="J30:L30"/>
    <mergeCell ref="J31:L31"/>
    <mergeCell ref="M30:Q30"/>
    <mergeCell ref="J47:Q47"/>
    <mergeCell ref="N28:O28"/>
    <mergeCell ref="P44:Q44"/>
    <mergeCell ref="O122:Q122"/>
    <mergeCell ref="L123:N123"/>
    <mergeCell ref="J117:K117"/>
    <mergeCell ref="J95:Q95"/>
    <mergeCell ref="O120:Q120"/>
    <mergeCell ref="J107:Q107"/>
    <mergeCell ref="J106:Q106"/>
    <mergeCell ref="J103:Q103"/>
    <mergeCell ref="J102:Q102"/>
    <mergeCell ref="J100:Q100"/>
    <mergeCell ref="A280:A287"/>
    <mergeCell ref="A256:A263"/>
    <mergeCell ref="B256:B263"/>
    <mergeCell ref="C256:C263"/>
    <mergeCell ref="J256:Q256"/>
    <mergeCell ref="B240:B247"/>
    <mergeCell ref="C240:C247"/>
    <mergeCell ref="J96:Q96"/>
    <mergeCell ref="L125:N125"/>
    <mergeCell ref="O125:Q125"/>
    <mergeCell ref="L127:N127"/>
    <mergeCell ref="O127:Q127"/>
    <mergeCell ref="A239:Q239"/>
    <mergeCell ref="J135:Q135"/>
    <mergeCell ref="B149:B156"/>
    <mergeCell ref="C149:C156"/>
    <mergeCell ref="A149:A156"/>
    <mergeCell ref="A240:A247"/>
    <mergeCell ref="C157:C164"/>
    <mergeCell ref="A272:A279"/>
    <mergeCell ref="B272:B279"/>
    <mergeCell ref="C272:C279"/>
    <mergeCell ref="J244:Q244"/>
    <mergeCell ref="J245:Q245"/>
    <mergeCell ref="J246:Q246"/>
    <mergeCell ref="B248:B255"/>
    <mergeCell ref="J248:Q248"/>
    <mergeCell ref="J137:Q137"/>
    <mergeCell ref="B280:B287"/>
    <mergeCell ref="C280:C287"/>
    <mergeCell ref="J287:Q287"/>
    <mergeCell ref="J280:Q280"/>
    <mergeCell ref="J284:Q284"/>
    <mergeCell ref="J285:Q285"/>
    <mergeCell ref="J282:Q282"/>
    <mergeCell ref="J286:Q286"/>
    <mergeCell ref="J240:Q240"/>
    <mergeCell ref="L119:N119"/>
    <mergeCell ref="B125:B132"/>
    <mergeCell ref="B133:B140"/>
    <mergeCell ref="C133:C140"/>
    <mergeCell ref="C125:C132"/>
    <mergeCell ref="A264:A271"/>
    <mergeCell ref="J268:Q268"/>
    <mergeCell ref="A238:Q238"/>
    <mergeCell ref="J263:Q263"/>
    <mergeCell ref="J136:Q136"/>
    <mergeCell ref="N73:Q73"/>
    <mergeCell ref="L128:N128"/>
    <mergeCell ref="J134:Q134"/>
    <mergeCell ref="O118:Q118"/>
    <mergeCell ref="J113:K113"/>
    <mergeCell ref="L114:N114"/>
    <mergeCell ref="L113:N113"/>
    <mergeCell ref="J115:K115"/>
    <mergeCell ref="L120:N120"/>
    <mergeCell ref="J126:K126"/>
    <mergeCell ref="C61:C68"/>
    <mergeCell ref="J91:Q91"/>
    <mergeCell ref="J90:Q90"/>
    <mergeCell ref="J75:M75"/>
    <mergeCell ref="J94:Q94"/>
    <mergeCell ref="A69:A76"/>
    <mergeCell ref="B69:B76"/>
    <mergeCell ref="C69:C76"/>
    <mergeCell ref="J76:M76"/>
    <mergeCell ref="J74:M74"/>
    <mergeCell ref="M53:N53"/>
    <mergeCell ref="N75:Q75"/>
    <mergeCell ref="N76:Q76"/>
    <mergeCell ref="N70:Q70"/>
    <mergeCell ref="A53:A60"/>
    <mergeCell ref="B53:B60"/>
    <mergeCell ref="C53:C60"/>
    <mergeCell ref="O56:Q56"/>
    <mergeCell ref="O53:Q53"/>
    <mergeCell ref="A61:A68"/>
    <mergeCell ref="M42:N42"/>
    <mergeCell ref="B61:B68"/>
    <mergeCell ref="J54:L54"/>
    <mergeCell ref="M38:N38"/>
    <mergeCell ref="M39:N39"/>
    <mergeCell ref="J55:L55"/>
    <mergeCell ref="M54:N54"/>
    <mergeCell ref="J51:Q51"/>
    <mergeCell ref="B37:B44"/>
    <mergeCell ref="M40:N40"/>
    <mergeCell ref="J26:M26"/>
    <mergeCell ref="M58:N58"/>
    <mergeCell ref="J53:L53"/>
    <mergeCell ref="O55:Q55"/>
    <mergeCell ref="M31:Q31"/>
    <mergeCell ref="M59:N59"/>
    <mergeCell ref="M55:N55"/>
    <mergeCell ref="M43:N43"/>
    <mergeCell ref="J52:Q52"/>
    <mergeCell ref="J50:Q50"/>
    <mergeCell ref="P37:Q37"/>
    <mergeCell ref="P40:Q40"/>
    <mergeCell ref="M41:N41"/>
    <mergeCell ref="M29:Q29"/>
    <mergeCell ref="M36:Q36"/>
    <mergeCell ref="P28:Q28"/>
    <mergeCell ref="N69:Q69"/>
    <mergeCell ref="N71:Q71"/>
    <mergeCell ref="J93:Q93"/>
    <mergeCell ref="J86:Q86"/>
    <mergeCell ref="J87:Q87"/>
    <mergeCell ref="J58:L58"/>
    <mergeCell ref="J59:L59"/>
    <mergeCell ref="J71:M71"/>
    <mergeCell ref="J61:Q68"/>
    <mergeCell ref="N74:Q74"/>
    <mergeCell ref="A296:Q296"/>
    <mergeCell ref="J278:Q278"/>
    <mergeCell ref="J264:Q264"/>
    <mergeCell ref="J276:Q276"/>
    <mergeCell ref="J275:Q275"/>
    <mergeCell ref="J269:Q269"/>
    <mergeCell ref="J281:Q281"/>
    <mergeCell ref="J277:Q277"/>
    <mergeCell ref="J272:Q272"/>
    <mergeCell ref="J283:Q283"/>
    <mergeCell ref="A125:A132"/>
    <mergeCell ref="O115:Q115"/>
    <mergeCell ref="L117:N117"/>
    <mergeCell ref="O117:Q117"/>
    <mergeCell ref="J127:K127"/>
    <mergeCell ref="O121:Q121"/>
    <mergeCell ref="L121:N121"/>
    <mergeCell ref="J131:K131"/>
    <mergeCell ref="L124:N124"/>
    <mergeCell ref="J123:K123"/>
    <mergeCell ref="J133:Q133"/>
    <mergeCell ref="J138:Q138"/>
    <mergeCell ref="J139:Q139"/>
    <mergeCell ref="J140:Q140"/>
    <mergeCell ref="J194:Q194"/>
    <mergeCell ref="J195:Q195"/>
    <mergeCell ref="J158:Q158"/>
    <mergeCell ref="J185:Q185"/>
    <mergeCell ref="J191:Q191"/>
    <mergeCell ref="J192:Q192"/>
    <mergeCell ref="J247:Q247"/>
    <mergeCell ref="J196:Q196"/>
    <mergeCell ref="J188:Q188"/>
    <mergeCell ref="J165:K165"/>
    <mergeCell ref="O165:Q165"/>
    <mergeCell ref="J166:K166"/>
    <mergeCell ref="O166:Q166"/>
    <mergeCell ref="J186:Q186"/>
    <mergeCell ref="J187:Q187"/>
    <mergeCell ref="O170:Q170"/>
    <mergeCell ref="J121:K121"/>
    <mergeCell ref="J124:K124"/>
    <mergeCell ref="L110:N110"/>
    <mergeCell ref="L111:N111"/>
    <mergeCell ref="O110:Q110"/>
    <mergeCell ref="O111:Q111"/>
    <mergeCell ref="J118:K118"/>
    <mergeCell ref="J119:K119"/>
    <mergeCell ref="L118:N118"/>
    <mergeCell ref="O112:Q112"/>
    <mergeCell ref="L115:N115"/>
    <mergeCell ref="O114:Q114"/>
    <mergeCell ref="B264:B271"/>
    <mergeCell ref="C264:C271"/>
    <mergeCell ref="A133:A140"/>
    <mergeCell ref="A141:A148"/>
    <mergeCell ref="C248:C255"/>
    <mergeCell ref="A248:A255"/>
    <mergeCell ref="A157:A164"/>
    <mergeCell ref="B157:B164"/>
    <mergeCell ref="B141:B148"/>
    <mergeCell ref="A77:A84"/>
    <mergeCell ref="B77:B84"/>
    <mergeCell ref="C29:C36"/>
    <mergeCell ref="C14:C16"/>
    <mergeCell ref="B101:B108"/>
    <mergeCell ref="A117:A124"/>
    <mergeCell ref="B117:B124"/>
    <mergeCell ref="C93:C100"/>
    <mergeCell ref="A37:A44"/>
    <mergeCell ref="C37:C44"/>
    <mergeCell ref="A18:Q18"/>
    <mergeCell ref="N21:O21"/>
    <mergeCell ref="N24:O24"/>
    <mergeCell ref="N27:O27"/>
    <mergeCell ref="J35:L35"/>
    <mergeCell ref="N23:O23"/>
    <mergeCell ref="P39:Q39"/>
    <mergeCell ref="J21:M21"/>
    <mergeCell ref="M44:N44"/>
    <mergeCell ref="C101:C108"/>
    <mergeCell ref="B93:B100"/>
    <mergeCell ref="C109:C116"/>
    <mergeCell ref="A101:A108"/>
    <mergeCell ref="C117:C124"/>
    <mergeCell ref="B109:B116"/>
    <mergeCell ref="A109:A116"/>
    <mergeCell ref="A93:A100"/>
    <mergeCell ref="C77:C84"/>
    <mergeCell ref="J77:Q84"/>
    <mergeCell ref="A85:A92"/>
    <mergeCell ref="B85:B92"/>
    <mergeCell ref="C85:C92"/>
    <mergeCell ref="O58:Q58"/>
    <mergeCell ref="J69:M69"/>
    <mergeCell ref="J85:Q85"/>
    <mergeCell ref="N72:Q72"/>
    <mergeCell ref="J88:Q88"/>
    <mergeCell ref="O109:Q109"/>
    <mergeCell ref="J108:Q108"/>
    <mergeCell ref="O119:Q119"/>
    <mergeCell ref="J110:K110"/>
    <mergeCell ref="J111:K111"/>
    <mergeCell ref="O116:Q116"/>
    <mergeCell ref="J116:K116"/>
    <mergeCell ref="L116:N116"/>
    <mergeCell ref="L112:N112"/>
    <mergeCell ref="J114:K114"/>
    <mergeCell ref="O131:Q131"/>
    <mergeCell ref="L130:N130"/>
    <mergeCell ref="J132:K132"/>
    <mergeCell ref="J125:K125"/>
    <mergeCell ref="L132:N132"/>
    <mergeCell ref="O129:Q129"/>
    <mergeCell ref="J128:K128"/>
    <mergeCell ref="L131:N131"/>
    <mergeCell ref="O132:Q132"/>
    <mergeCell ref="L126:N126"/>
    <mergeCell ref="J122:K122"/>
    <mergeCell ref="J120:K120"/>
    <mergeCell ref="O128:Q128"/>
    <mergeCell ref="O130:Q130"/>
    <mergeCell ref="J130:K130"/>
    <mergeCell ref="L129:N129"/>
    <mergeCell ref="L122:N122"/>
    <mergeCell ref="O123:Q123"/>
    <mergeCell ref="O124:Q124"/>
    <mergeCell ref="J129:K129"/>
    <mergeCell ref="O113:Q113"/>
    <mergeCell ref="J112:K112"/>
    <mergeCell ref="L109:N109"/>
    <mergeCell ref="J105:Q105"/>
    <mergeCell ref="J109:K109"/>
    <mergeCell ref="O59:Q59"/>
    <mergeCell ref="O60:Q60"/>
    <mergeCell ref="M60:N60"/>
    <mergeCell ref="J60:L60"/>
    <mergeCell ref="J89:Q89"/>
    <mergeCell ref="E14:I14"/>
    <mergeCell ref="F15:F16"/>
    <mergeCell ref="J27:M27"/>
    <mergeCell ref="B14:B16"/>
    <mergeCell ref="E15:E16"/>
    <mergeCell ref="C21:C28"/>
    <mergeCell ref="G15:G16"/>
    <mergeCell ref="D14:D16"/>
    <mergeCell ref="H15:H16"/>
    <mergeCell ref="I15:I16"/>
    <mergeCell ref="J24:M24"/>
    <mergeCell ref="M33:Q33"/>
    <mergeCell ref="P27:Q27"/>
    <mergeCell ref="N26:O26"/>
    <mergeCell ref="J17:Q17"/>
    <mergeCell ref="A19:Q19"/>
    <mergeCell ref="A20:Q20"/>
    <mergeCell ref="A21:A28"/>
    <mergeCell ref="B21:B28"/>
    <mergeCell ref="P22:Q22"/>
    <mergeCell ref="A14:A16"/>
    <mergeCell ref="A29:A36"/>
    <mergeCell ref="B29:B36"/>
    <mergeCell ref="J29:L29"/>
    <mergeCell ref="J36:L36"/>
    <mergeCell ref="P21:Q21"/>
    <mergeCell ref="P24:Q24"/>
    <mergeCell ref="J28:M28"/>
    <mergeCell ref="J33:L33"/>
    <mergeCell ref="M35:Q35"/>
    <mergeCell ref="A297:C304"/>
    <mergeCell ref="J297:Q304"/>
    <mergeCell ref="J271:Q271"/>
    <mergeCell ref="J92:Q92"/>
    <mergeCell ref="A237:Q237"/>
    <mergeCell ref="M57:N57"/>
    <mergeCell ref="J101:Q101"/>
    <mergeCell ref="O57:Q57"/>
    <mergeCell ref="J164:Q164"/>
    <mergeCell ref="J159:Q159"/>
    <mergeCell ref="M56:N56"/>
    <mergeCell ref="N25:O25"/>
    <mergeCell ref="J56:L56"/>
    <mergeCell ref="J57:L57"/>
    <mergeCell ref="M34:Q34"/>
    <mergeCell ref="O54:Q54"/>
    <mergeCell ref="M37:N37"/>
    <mergeCell ref="P38:Q38"/>
    <mergeCell ref="P26:Q26"/>
    <mergeCell ref="P25:Q25"/>
    <mergeCell ref="A10:O10"/>
    <mergeCell ref="A11:O11"/>
    <mergeCell ref="A12:O12"/>
    <mergeCell ref="J34:L34"/>
    <mergeCell ref="J73:M73"/>
    <mergeCell ref="J32:L32"/>
    <mergeCell ref="M32:Q32"/>
    <mergeCell ref="J14:Q16"/>
    <mergeCell ref="J25:M25"/>
    <mergeCell ref="J72:M72"/>
    <mergeCell ref="A165:A172"/>
    <mergeCell ref="B165:B172"/>
    <mergeCell ref="C165:C172"/>
    <mergeCell ref="J167:K167"/>
    <mergeCell ref="O167:Q167"/>
    <mergeCell ref="J157:Q157"/>
    <mergeCell ref="J160:Q160"/>
    <mergeCell ref="J161:Q161"/>
    <mergeCell ref="J162:Q162"/>
    <mergeCell ref="J163:Q163"/>
    <mergeCell ref="C173:C180"/>
    <mergeCell ref="J173:Q173"/>
    <mergeCell ref="J174:Q174"/>
    <mergeCell ref="J175:Q175"/>
    <mergeCell ref="J176:Q176"/>
    <mergeCell ref="J177:Q177"/>
    <mergeCell ref="J180:Q180"/>
    <mergeCell ref="J178:Q178"/>
    <mergeCell ref="A181:A188"/>
    <mergeCell ref="J169:K169"/>
    <mergeCell ref="B181:B188"/>
    <mergeCell ref="C181:C188"/>
    <mergeCell ref="J181:Q181"/>
    <mergeCell ref="J182:Q182"/>
    <mergeCell ref="J183:Q183"/>
    <mergeCell ref="J184:Q184"/>
    <mergeCell ref="A173:A180"/>
    <mergeCell ref="B173:B180"/>
    <mergeCell ref="L172:N172"/>
    <mergeCell ref="O171:Q171"/>
    <mergeCell ref="J168:K168"/>
    <mergeCell ref="O168:Q168"/>
    <mergeCell ref="A189:A196"/>
    <mergeCell ref="B189:B196"/>
    <mergeCell ref="C189:C196"/>
    <mergeCell ref="J189:Q189"/>
    <mergeCell ref="J190:Q190"/>
    <mergeCell ref="J193:Q193"/>
    <mergeCell ref="O169:Q169"/>
    <mergeCell ref="J170:K170"/>
    <mergeCell ref="J229:Q236"/>
    <mergeCell ref="A229:A236"/>
    <mergeCell ref="B229:B236"/>
    <mergeCell ref="C229:C236"/>
    <mergeCell ref="L170:N170"/>
    <mergeCell ref="J179:Q179"/>
    <mergeCell ref="J172:K172"/>
    <mergeCell ref="O172:Q172"/>
    <mergeCell ref="L165:N165"/>
    <mergeCell ref="L166:N166"/>
    <mergeCell ref="L167:N167"/>
    <mergeCell ref="L168:N168"/>
    <mergeCell ref="L169:N169"/>
    <mergeCell ref="J171:K171"/>
    <mergeCell ref="L171:N171"/>
  </mergeCells>
  <printOptions/>
  <pageMargins left="0.7086614173228347" right="0.7086614173228347" top="0.7480314960629921" bottom="0.3937007874015748" header="0.31496062992125984" footer="0.31496062992125984"/>
  <pageSetup firstPageNumber="21" useFirstPageNumber="1" horizontalDpi="600" verticalDpi="600" orientation="landscape" paperSize="9" scale="57" r:id="rId1"/>
  <headerFooter>
    <oddHeader>&amp;C&amp;P</oddHeader>
  </headerFooter>
  <rowBreaks count="7" manualBreakCount="7">
    <brk id="36" max="16" man="1"/>
    <brk id="68" max="16" man="1"/>
    <brk id="100" max="16" man="1"/>
    <brk id="132" max="16" man="1"/>
    <brk id="204" max="16" man="1"/>
    <brk id="255" max="16" man="1"/>
    <brk id="2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5">
      <c r="A9" s="110" t="s">
        <v>118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15">
      <c r="A10" s="110" t="s">
        <v>119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15">
      <c r="A11" s="110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11"/>
      <c r="B13" s="111"/>
      <c r="C13" s="112" t="s">
        <v>23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5">
      <c r="A14" s="111"/>
      <c r="B14" s="111"/>
      <c r="C14" s="109" t="s">
        <v>4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75" customHeight="1">
      <c r="A15" s="109" t="s">
        <v>5</v>
      </c>
      <c r="B15" s="109" t="s">
        <v>20</v>
      </c>
      <c r="C15" s="109" t="s">
        <v>6</v>
      </c>
      <c r="D15" s="109" t="s">
        <v>7</v>
      </c>
      <c r="E15" s="109" t="s">
        <v>21</v>
      </c>
      <c r="F15" s="109" t="s">
        <v>8</v>
      </c>
      <c r="G15" s="109" t="s">
        <v>9</v>
      </c>
      <c r="H15" s="109" t="s">
        <v>10</v>
      </c>
      <c r="I15" s="109"/>
      <c r="J15" s="109"/>
      <c r="K15" s="109"/>
      <c r="L15" s="109"/>
      <c r="M15" s="109" t="s">
        <v>11</v>
      </c>
    </row>
    <row r="16" spans="1:13" ht="15">
      <c r="A16" s="109"/>
      <c r="B16" s="109"/>
      <c r="C16" s="109"/>
      <c r="D16" s="109"/>
      <c r="E16" s="109"/>
      <c r="F16" s="109"/>
      <c r="G16" s="109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09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13" t="s">
        <v>34</v>
      </c>
      <c r="B18" s="116" t="s">
        <v>35</v>
      </c>
      <c r="C18" s="23"/>
      <c r="D18" s="23"/>
      <c r="E18" s="23"/>
      <c r="F18" s="20"/>
      <c r="G18" s="119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14"/>
      <c r="B19" s="117"/>
      <c r="C19" s="23"/>
      <c r="D19" s="23"/>
      <c r="E19" s="23"/>
      <c r="F19" s="23"/>
      <c r="G19" s="120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14"/>
      <c r="B20" s="117"/>
      <c r="C20" s="23"/>
      <c r="D20" s="23"/>
      <c r="E20" s="23"/>
      <c r="F20" s="23"/>
      <c r="G20" s="120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14"/>
      <c r="B21" s="117"/>
      <c r="C21" s="23"/>
      <c r="D21" s="23"/>
      <c r="E21" s="23"/>
      <c r="F21" s="23"/>
      <c r="G21" s="120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14"/>
      <c r="B22" s="117"/>
      <c r="C22" s="23"/>
      <c r="D22" s="23"/>
      <c r="E22" s="23"/>
      <c r="F22" s="23"/>
      <c r="G22" s="120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15"/>
      <c r="B23" s="118"/>
      <c r="C23" s="23"/>
      <c r="D23" s="23"/>
      <c r="E23" s="23"/>
      <c r="F23" s="23"/>
      <c r="G23" s="121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13" t="s">
        <v>42</v>
      </c>
      <c r="B25" s="122" t="s">
        <v>43</v>
      </c>
      <c r="C25" s="23"/>
      <c r="D25" s="23"/>
      <c r="E25" s="23"/>
      <c r="F25" s="23"/>
      <c r="G25" s="119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14"/>
      <c r="B26" s="123"/>
      <c r="C26" s="23"/>
      <c r="D26" s="23"/>
      <c r="E26" s="23"/>
      <c r="F26" s="23"/>
      <c r="G26" s="120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14"/>
      <c r="B27" s="123"/>
      <c r="C27" s="23"/>
      <c r="D27" s="23"/>
      <c r="E27" s="23"/>
      <c r="F27" s="23"/>
      <c r="G27" s="120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15"/>
      <c r="B28" s="124"/>
      <c r="C28" s="23"/>
      <c r="D28" s="23"/>
      <c r="E28" s="23"/>
      <c r="F28" s="23"/>
      <c r="G28" s="121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13" t="s">
        <v>44</v>
      </c>
      <c r="B29" s="122" t="s">
        <v>45</v>
      </c>
      <c r="C29" s="23"/>
      <c r="D29" s="23"/>
      <c r="E29" s="23"/>
      <c r="F29" s="23"/>
      <c r="G29" s="125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15"/>
      <c r="B30" s="124"/>
      <c r="C30" s="23"/>
      <c r="D30" s="23"/>
      <c r="E30" s="23"/>
      <c r="F30" s="23"/>
      <c r="G30" s="126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13" t="s">
        <v>48</v>
      </c>
      <c r="B31" s="122" t="s">
        <v>49</v>
      </c>
      <c r="C31" s="23"/>
      <c r="D31" s="23"/>
      <c r="E31" s="23"/>
      <c r="F31" s="23"/>
      <c r="G31" s="119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15"/>
      <c r="B32" s="124"/>
      <c r="C32" s="23"/>
      <c r="D32" s="23"/>
      <c r="E32" s="23"/>
      <c r="F32" s="23"/>
      <c r="G32" s="121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13" t="s">
        <v>57</v>
      </c>
      <c r="B35" s="122" t="s">
        <v>58</v>
      </c>
      <c r="C35" s="23"/>
      <c r="D35" s="23"/>
      <c r="E35" s="23"/>
      <c r="F35" s="23"/>
      <c r="G35" s="125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14"/>
      <c r="B36" s="123"/>
      <c r="C36" s="23"/>
      <c r="D36" s="23"/>
      <c r="E36" s="23"/>
      <c r="F36" s="23"/>
      <c r="G36" s="127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15"/>
      <c r="B37" s="124"/>
      <c r="C37" s="23"/>
      <c r="D37" s="23"/>
      <c r="E37" s="23"/>
      <c r="F37" s="23"/>
      <c r="G37" s="126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13" t="s">
        <v>61</v>
      </c>
      <c r="B38" s="122" t="s">
        <v>62</v>
      </c>
      <c r="C38" s="23"/>
      <c r="D38" s="23"/>
      <c r="E38" s="23"/>
      <c r="F38" s="23"/>
      <c r="G38" s="119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15"/>
      <c r="B39" s="124"/>
      <c r="C39" s="23"/>
      <c r="D39" s="23"/>
      <c r="E39" s="23"/>
      <c r="F39" s="23"/>
      <c r="G39" s="121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13" t="s">
        <v>63</v>
      </c>
      <c r="B40" s="122" t="s">
        <v>64</v>
      </c>
      <c r="C40" s="23"/>
      <c r="D40" s="23"/>
      <c r="E40" s="23"/>
      <c r="F40" s="23"/>
      <c r="G40" s="119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15"/>
      <c r="B41" s="124"/>
      <c r="C41" s="23"/>
      <c r="D41" s="23"/>
      <c r="E41" s="23"/>
      <c r="F41" s="23"/>
      <c r="G41" s="121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13" t="s">
        <v>65</v>
      </c>
      <c r="B42" s="122" t="s">
        <v>66</v>
      </c>
      <c r="C42" s="23"/>
      <c r="D42" s="23"/>
      <c r="E42" s="23"/>
      <c r="F42" s="23"/>
      <c r="G42" s="119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15"/>
      <c r="B43" s="124"/>
      <c r="C43" s="23"/>
      <c r="D43" s="23"/>
      <c r="E43" s="23"/>
      <c r="F43" s="23"/>
      <c r="G43" s="121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13" t="s">
        <v>77</v>
      </c>
      <c r="B47" s="122" t="s">
        <v>78</v>
      </c>
      <c r="C47" s="23"/>
      <c r="D47" s="23"/>
      <c r="E47" s="23"/>
      <c r="F47" s="23"/>
      <c r="G47" s="119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14"/>
      <c r="B48" s="123"/>
      <c r="C48" s="23"/>
      <c r="D48" s="23"/>
      <c r="E48" s="23"/>
      <c r="F48" s="23"/>
      <c r="G48" s="120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14"/>
      <c r="B49" s="123"/>
      <c r="C49" s="23"/>
      <c r="D49" s="23"/>
      <c r="E49" s="23"/>
      <c r="F49" s="23"/>
      <c r="G49" s="120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15"/>
      <c r="B50" s="124"/>
      <c r="C50" s="23"/>
      <c r="D50" s="23"/>
      <c r="E50" s="23"/>
      <c r="F50" s="23"/>
      <c r="G50" s="121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28" t="s">
        <v>81</v>
      </c>
      <c r="B52" s="122" t="s">
        <v>82</v>
      </c>
      <c r="C52" s="23"/>
      <c r="D52" s="23"/>
      <c r="E52" s="23"/>
      <c r="F52" s="20"/>
      <c r="G52" s="119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29"/>
      <c r="B53" s="123"/>
      <c r="C53" s="23"/>
      <c r="D53" s="23"/>
      <c r="E53" s="23"/>
      <c r="F53" s="20"/>
      <c r="G53" s="120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29"/>
      <c r="B54" s="123"/>
      <c r="C54" s="23"/>
      <c r="D54" s="23"/>
      <c r="E54" s="23"/>
      <c r="F54" s="20"/>
      <c r="G54" s="120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29"/>
      <c r="B55" s="123"/>
      <c r="C55" s="23"/>
      <c r="D55" s="23"/>
      <c r="E55" s="23"/>
      <c r="F55" s="20"/>
      <c r="G55" s="120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29"/>
      <c r="B56" s="123"/>
      <c r="C56" s="23"/>
      <c r="D56" s="23"/>
      <c r="E56" s="23"/>
      <c r="F56" s="20"/>
      <c r="G56" s="120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29"/>
      <c r="B57" s="123"/>
      <c r="C57" s="23"/>
      <c r="D57" s="23"/>
      <c r="E57" s="23"/>
      <c r="F57" s="20"/>
      <c r="G57" s="120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30"/>
      <c r="B58" s="124"/>
      <c r="C58" s="23"/>
      <c r="D58" s="23"/>
      <c r="E58" s="23"/>
      <c r="F58" s="20"/>
      <c r="G58" s="121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28" t="s">
        <v>83</v>
      </c>
      <c r="B59" s="122" t="s">
        <v>84</v>
      </c>
      <c r="C59" s="23"/>
      <c r="D59" s="23"/>
      <c r="E59" s="23"/>
      <c r="F59" s="20"/>
      <c r="G59" s="119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29"/>
      <c r="B60" s="123"/>
      <c r="C60" s="23"/>
      <c r="D60" s="23"/>
      <c r="E60" s="23"/>
      <c r="F60" s="20"/>
      <c r="G60" s="120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29"/>
      <c r="B61" s="123"/>
      <c r="C61" s="23"/>
      <c r="D61" s="23"/>
      <c r="E61" s="23"/>
      <c r="F61" s="20"/>
      <c r="G61" s="120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29"/>
      <c r="B62" s="123"/>
      <c r="C62" s="23"/>
      <c r="D62" s="23"/>
      <c r="E62" s="23"/>
      <c r="F62" s="20"/>
      <c r="G62" s="120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29"/>
      <c r="B63" s="123"/>
      <c r="C63" s="23"/>
      <c r="D63" s="23"/>
      <c r="E63" s="23"/>
      <c r="F63" s="20"/>
      <c r="G63" s="120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29"/>
      <c r="B64" s="123"/>
      <c r="C64" s="23"/>
      <c r="D64" s="23"/>
      <c r="E64" s="23"/>
      <c r="F64" s="20"/>
      <c r="G64" s="120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29"/>
      <c r="B65" s="123"/>
      <c r="C65" s="23"/>
      <c r="D65" s="23"/>
      <c r="E65" s="23"/>
      <c r="F65" s="20"/>
      <c r="G65" s="120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30"/>
      <c r="B66" s="124"/>
      <c r="C66" s="23"/>
      <c r="D66" s="23"/>
      <c r="E66" s="23"/>
      <c r="F66" s="20"/>
      <c r="G66" s="121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28" t="s">
        <v>91</v>
      </c>
      <c r="B67" s="122" t="s">
        <v>115</v>
      </c>
      <c r="C67" s="23"/>
      <c r="D67" s="23"/>
      <c r="E67" s="23"/>
      <c r="F67" s="20"/>
      <c r="G67" s="125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30"/>
      <c r="B68" s="124"/>
      <c r="C68" s="23"/>
      <c r="D68" s="23"/>
      <c r="E68" s="23"/>
      <c r="F68" s="20"/>
      <c r="G68" s="126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31" t="s">
        <v>98</v>
      </c>
      <c r="B69" s="122" t="s">
        <v>116</v>
      </c>
      <c r="C69" s="23"/>
      <c r="D69" s="23"/>
      <c r="E69" s="23"/>
      <c r="F69" s="20"/>
      <c r="G69" s="125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32"/>
      <c r="B70" s="123"/>
      <c r="C70" s="23"/>
      <c r="D70" s="23"/>
      <c r="E70" s="23"/>
      <c r="F70" s="20"/>
      <c r="G70" s="127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32"/>
      <c r="B71" s="123"/>
      <c r="C71" s="23"/>
      <c r="D71" s="23"/>
      <c r="E71" s="23"/>
      <c r="F71" s="20"/>
      <c r="G71" s="127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32"/>
      <c r="B72" s="123"/>
      <c r="C72" s="23"/>
      <c r="D72" s="23"/>
      <c r="E72" s="23"/>
      <c r="F72" s="20"/>
      <c r="G72" s="127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32"/>
      <c r="B73" s="123"/>
      <c r="C73" s="23"/>
      <c r="D73" s="23"/>
      <c r="E73" s="23"/>
      <c r="F73" s="20"/>
      <c r="G73" s="127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33"/>
      <c r="B74" s="124"/>
      <c r="C74" s="23"/>
      <c r="D74" s="23"/>
      <c r="E74" s="23"/>
      <c r="F74" s="20"/>
      <c r="G74" s="126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11" t="s">
        <v>19</v>
      </c>
      <c r="B76" s="111"/>
      <c r="C76" s="111"/>
      <c r="D76" s="111"/>
      <c r="E76" s="111"/>
      <c r="F76" s="111"/>
      <c r="G76" s="111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34" t="s">
        <v>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1:13" ht="15">
      <c r="A80" s="134" t="s">
        <v>2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1:13" ht="15">
      <c r="A81" s="134" t="s">
        <v>106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1:13" ht="15">
      <c r="A82" s="134" t="s">
        <v>22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1:13" ht="15">
      <c r="A83" s="134" t="s">
        <v>3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ht="15">
      <c r="A84" s="2"/>
    </row>
    <row r="85" spans="1:13" ht="15">
      <c r="A85" s="135"/>
      <c r="B85" s="135"/>
      <c r="C85" s="136" t="s">
        <v>23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1:13" ht="15">
      <c r="A86" s="135"/>
      <c r="B86" s="135"/>
      <c r="C86" s="136" t="s">
        <v>4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  <row r="87" spans="1:13" ht="15">
      <c r="A87" s="136" t="s">
        <v>5</v>
      </c>
      <c r="B87" s="136" t="s">
        <v>20</v>
      </c>
      <c r="C87" s="136" t="s">
        <v>6</v>
      </c>
      <c r="D87" s="136" t="s">
        <v>7</v>
      </c>
      <c r="E87" s="136" t="s">
        <v>21</v>
      </c>
      <c r="F87" s="136" t="s">
        <v>8</v>
      </c>
      <c r="G87" s="136" t="s">
        <v>9</v>
      </c>
      <c r="H87" s="136" t="s">
        <v>10</v>
      </c>
      <c r="I87" s="136"/>
      <c r="J87" s="136"/>
      <c r="K87" s="136"/>
      <c r="L87" s="136"/>
      <c r="M87" s="136" t="s">
        <v>11</v>
      </c>
    </row>
    <row r="88" spans="1:13" ht="15">
      <c r="A88" s="136"/>
      <c r="B88" s="136"/>
      <c r="C88" s="136"/>
      <c r="D88" s="136"/>
      <c r="E88" s="136"/>
      <c r="F88" s="136"/>
      <c r="G88" s="136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36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7" t="s">
        <v>34</v>
      </c>
      <c r="B90" s="140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38"/>
      <c r="B91" s="141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38"/>
      <c r="B92" s="141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38"/>
      <c r="B93" s="141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38"/>
      <c r="B94" s="141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39"/>
      <c r="B95" s="142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7" t="s">
        <v>42</v>
      </c>
      <c r="B97" s="143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38"/>
      <c r="B98" s="144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38"/>
      <c r="B99" s="144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39"/>
      <c r="B100" s="145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7" t="s">
        <v>44</v>
      </c>
      <c r="B101" s="143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39"/>
      <c r="B102" s="145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7" t="s">
        <v>48</v>
      </c>
      <c r="B103" s="143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39"/>
      <c r="B104" s="145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37" t="s">
        <v>57</v>
      </c>
      <c r="B107" s="143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38"/>
      <c r="B108" s="144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39"/>
      <c r="B109" s="145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37" t="s">
        <v>61</v>
      </c>
      <c r="B110" s="143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39"/>
      <c r="B111" s="145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7" t="s">
        <v>63</v>
      </c>
      <c r="B112" s="143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39"/>
      <c r="B113" s="145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7" t="s">
        <v>65</v>
      </c>
      <c r="B114" s="143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9"/>
      <c r="B115" s="145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7" t="s">
        <v>77</v>
      </c>
      <c r="B119" s="143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38"/>
      <c r="B120" s="144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38"/>
      <c r="B121" s="144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39"/>
      <c r="B122" s="145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46" t="s">
        <v>81</v>
      </c>
      <c r="B124" s="143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48"/>
      <c r="B125" s="144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48"/>
      <c r="B126" s="144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48"/>
      <c r="B127" s="144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48"/>
      <c r="B128" s="144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48"/>
      <c r="B129" s="144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47"/>
      <c r="B130" s="145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46" t="s">
        <v>83</v>
      </c>
      <c r="B131" s="143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48"/>
      <c r="B132" s="144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48"/>
      <c r="B133" s="144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48"/>
      <c r="B134" s="144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48"/>
      <c r="B135" s="144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48"/>
      <c r="B136" s="144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48"/>
      <c r="B137" s="144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47"/>
      <c r="B138" s="145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46" t="s">
        <v>91</v>
      </c>
      <c r="B139" s="143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47"/>
      <c r="B140" s="145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49" t="s">
        <v>98</v>
      </c>
      <c r="B141" s="143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50"/>
      <c r="B142" s="144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50"/>
      <c r="B143" s="144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50"/>
      <c r="B144" s="144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50"/>
      <c r="B145" s="144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51"/>
      <c r="B146" s="145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35" t="s">
        <v>19</v>
      </c>
      <c r="B148" s="135"/>
      <c r="C148" s="135"/>
      <c r="D148" s="135"/>
      <c r="E148" s="135"/>
      <c r="F148" s="135"/>
      <c r="G148" s="135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34" t="s">
        <v>1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1:13" ht="15">
      <c r="A152" s="134" t="s">
        <v>2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1:13" ht="15">
      <c r="A153" s="134" t="s">
        <v>107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1:13" ht="15">
      <c r="A154" s="134" t="s">
        <v>22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 ht="15">
      <c r="A155" s="134" t="s">
        <v>3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ht="15">
      <c r="A156" s="2"/>
    </row>
    <row r="157" spans="1:13" ht="15">
      <c r="A157" s="135"/>
      <c r="B157" s="135"/>
      <c r="C157" s="136" t="s">
        <v>23</v>
      </c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</row>
    <row r="158" spans="1:13" ht="15">
      <c r="A158" s="135"/>
      <c r="B158" s="135"/>
      <c r="C158" s="136" t="s">
        <v>4</v>
      </c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</row>
    <row r="159" spans="1:13" ht="15">
      <c r="A159" s="136" t="s">
        <v>5</v>
      </c>
      <c r="B159" s="136" t="s">
        <v>20</v>
      </c>
      <c r="C159" s="136" t="s">
        <v>6</v>
      </c>
      <c r="D159" s="136" t="s">
        <v>7</v>
      </c>
      <c r="E159" s="136" t="s">
        <v>21</v>
      </c>
      <c r="F159" s="136" t="s">
        <v>8</v>
      </c>
      <c r="G159" s="136" t="s">
        <v>9</v>
      </c>
      <c r="H159" s="136" t="s">
        <v>10</v>
      </c>
      <c r="I159" s="136"/>
      <c r="J159" s="136"/>
      <c r="K159" s="136"/>
      <c r="L159" s="136"/>
      <c r="M159" s="136" t="s">
        <v>11</v>
      </c>
    </row>
    <row r="160" spans="1:13" ht="15">
      <c r="A160" s="136"/>
      <c r="B160" s="136"/>
      <c r="C160" s="136"/>
      <c r="D160" s="136"/>
      <c r="E160" s="136"/>
      <c r="F160" s="136"/>
      <c r="G160" s="136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36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7" t="s">
        <v>34</v>
      </c>
      <c r="B162" s="140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38"/>
      <c r="B163" s="141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38"/>
      <c r="B164" s="141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38"/>
      <c r="B165" s="141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38"/>
      <c r="B166" s="141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39"/>
      <c r="B167" s="142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7" t="s">
        <v>42</v>
      </c>
      <c r="B169" s="143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38"/>
      <c r="B170" s="144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38"/>
      <c r="B171" s="144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39"/>
      <c r="B172" s="145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7" t="s">
        <v>44</v>
      </c>
      <c r="B173" s="143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39"/>
      <c r="B174" s="145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37" t="s">
        <v>48</v>
      </c>
      <c r="B175" s="143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39"/>
      <c r="B176" s="145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37" t="s">
        <v>57</v>
      </c>
      <c r="B179" s="143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38"/>
      <c r="B180" s="144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39"/>
      <c r="B181" s="145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7" t="s">
        <v>61</v>
      </c>
      <c r="B182" s="143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39"/>
      <c r="B183" s="145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7" t="s">
        <v>63</v>
      </c>
      <c r="B184" s="143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39"/>
      <c r="B185" s="145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7" t="s">
        <v>65</v>
      </c>
      <c r="B186" s="143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9"/>
      <c r="B187" s="145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7" t="s">
        <v>77</v>
      </c>
      <c r="B191" s="143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38"/>
      <c r="B192" s="144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38"/>
      <c r="B193" s="144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39"/>
      <c r="B194" s="145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46" t="s">
        <v>81</v>
      </c>
      <c r="B196" s="143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48"/>
      <c r="B197" s="144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48"/>
      <c r="B198" s="144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48"/>
      <c r="B199" s="144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48"/>
      <c r="B200" s="144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48"/>
      <c r="B201" s="144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47"/>
      <c r="B202" s="145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46" t="s">
        <v>83</v>
      </c>
      <c r="B203" s="143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48"/>
      <c r="B204" s="144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48"/>
      <c r="B205" s="144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48"/>
      <c r="B206" s="144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48"/>
      <c r="B207" s="144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48"/>
      <c r="B208" s="144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48"/>
      <c r="B209" s="144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47"/>
      <c r="B210" s="145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46" t="s">
        <v>91</v>
      </c>
      <c r="B211" s="143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47"/>
      <c r="B212" s="145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49" t="s">
        <v>98</v>
      </c>
      <c r="B213" s="143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50"/>
      <c r="B214" s="144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50"/>
      <c r="B215" s="144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50"/>
      <c r="B216" s="144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50"/>
      <c r="B217" s="144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51"/>
      <c r="B218" s="145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35" t="s">
        <v>19</v>
      </c>
      <c r="B220" s="135"/>
      <c r="C220" s="135"/>
      <c r="D220" s="135"/>
      <c r="E220" s="135"/>
      <c r="F220" s="135"/>
      <c r="G220" s="135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34" t="s">
        <v>1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5">
      <c r="A224" s="134" t="s">
        <v>2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5">
      <c r="A225" s="134" t="s">
        <v>108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5">
      <c r="A226" s="134" t="s">
        <v>22</v>
      </c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5">
      <c r="A227" s="134" t="s">
        <v>3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ht="15">
      <c r="A228" s="2"/>
    </row>
    <row r="229" spans="1:13" ht="15">
      <c r="A229" s="135"/>
      <c r="B229" s="135"/>
      <c r="C229" s="136" t="s">
        <v>23</v>
      </c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</row>
    <row r="230" spans="1:13" ht="15">
      <c r="A230" s="135"/>
      <c r="B230" s="135"/>
      <c r="C230" s="136" t="s">
        <v>4</v>
      </c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</row>
    <row r="231" spans="1:13" ht="15">
      <c r="A231" s="136" t="s">
        <v>5</v>
      </c>
      <c r="B231" s="136" t="s">
        <v>20</v>
      </c>
      <c r="C231" s="136" t="s">
        <v>6</v>
      </c>
      <c r="D231" s="136" t="s">
        <v>7</v>
      </c>
      <c r="E231" s="136" t="s">
        <v>21</v>
      </c>
      <c r="F231" s="136" t="s">
        <v>8</v>
      </c>
      <c r="G231" s="136" t="s">
        <v>9</v>
      </c>
      <c r="H231" s="136" t="s">
        <v>10</v>
      </c>
      <c r="I231" s="136"/>
      <c r="J231" s="136"/>
      <c r="K231" s="136"/>
      <c r="L231" s="136"/>
      <c r="M231" s="136" t="s">
        <v>11</v>
      </c>
    </row>
    <row r="232" spans="1:13" ht="15">
      <c r="A232" s="136"/>
      <c r="B232" s="136"/>
      <c r="C232" s="136"/>
      <c r="D232" s="136"/>
      <c r="E232" s="136"/>
      <c r="F232" s="136"/>
      <c r="G232" s="136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36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7" t="s">
        <v>34</v>
      </c>
      <c r="B234" s="140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38"/>
      <c r="B235" s="141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38"/>
      <c r="B236" s="141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38"/>
      <c r="B237" s="141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38"/>
      <c r="B238" s="141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39"/>
      <c r="B239" s="142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7" t="s">
        <v>42</v>
      </c>
      <c r="B241" s="143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38"/>
      <c r="B242" s="144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38"/>
      <c r="B243" s="144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39"/>
      <c r="B244" s="145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7" t="s">
        <v>44</v>
      </c>
      <c r="B245" s="143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39"/>
      <c r="B246" s="145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7" t="s">
        <v>48</v>
      </c>
      <c r="B247" s="143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39"/>
      <c r="B248" s="145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37" t="s">
        <v>57</v>
      </c>
      <c r="B251" s="143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38"/>
      <c r="B252" s="144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39"/>
      <c r="B253" s="145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37" t="s">
        <v>61</v>
      </c>
      <c r="B254" s="143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39"/>
      <c r="B255" s="145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37" t="s">
        <v>63</v>
      </c>
      <c r="B256" s="143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39"/>
      <c r="B257" s="145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37" t="s">
        <v>65</v>
      </c>
      <c r="B258" s="143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39"/>
      <c r="B259" s="145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37" t="s">
        <v>77</v>
      </c>
      <c r="B263" s="143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38"/>
      <c r="B264" s="144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38"/>
      <c r="B265" s="144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39"/>
      <c r="B266" s="145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46" t="s">
        <v>81</v>
      </c>
      <c r="B268" s="143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48"/>
      <c r="B269" s="144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48"/>
      <c r="B270" s="144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48"/>
      <c r="B271" s="144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48"/>
      <c r="B272" s="144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48"/>
      <c r="B273" s="144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47"/>
      <c r="B274" s="145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46" t="s">
        <v>83</v>
      </c>
      <c r="B275" s="143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48"/>
      <c r="B276" s="144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48"/>
      <c r="B277" s="144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48"/>
      <c r="B278" s="144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48"/>
      <c r="B279" s="144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48"/>
      <c r="B280" s="144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48"/>
      <c r="B281" s="144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47"/>
      <c r="B282" s="145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46" t="s">
        <v>91</v>
      </c>
      <c r="B283" s="143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47"/>
      <c r="B284" s="145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49" t="s">
        <v>98</v>
      </c>
      <c r="B285" s="143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50"/>
      <c r="B286" s="144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50"/>
      <c r="B287" s="144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50"/>
      <c r="B288" s="144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50"/>
      <c r="B289" s="144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51"/>
      <c r="B290" s="145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35" t="s">
        <v>19</v>
      </c>
      <c r="B292" s="135"/>
      <c r="C292" s="135"/>
      <c r="D292" s="135"/>
      <c r="E292" s="135"/>
      <c r="F292" s="135"/>
      <c r="G292" s="135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34" t="s">
        <v>1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5">
      <c r="A296" s="134" t="s">
        <v>2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5">
      <c r="A297" s="134" t="s">
        <v>109</v>
      </c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5">
      <c r="A298" s="134" t="s">
        <v>22</v>
      </c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5">
      <c r="A299" s="134" t="s">
        <v>3</v>
      </c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ht="15">
      <c r="A300" s="2"/>
    </row>
    <row r="301" spans="1:13" ht="15">
      <c r="A301" s="135"/>
      <c r="B301" s="135"/>
      <c r="C301" s="136" t="s">
        <v>23</v>
      </c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</row>
    <row r="302" spans="1:13" ht="15">
      <c r="A302" s="135"/>
      <c r="B302" s="135"/>
      <c r="C302" s="136" t="s">
        <v>4</v>
      </c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</row>
    <row r="303" spans="1:13" ht="15">
      <c r="A303" s="136" t="s">
        <v>5</v>
      </c>
      <c r="B303" s="136" t="s">
        <v>20</v>
      </c>
      <c r="C303" s="136" t="s">
        <v>6</v>
      </c>
      <c r="D303" s="136" t="s">
        <v>7</v>
      </c>
      <c r="E303" s="136" t="s">
        <v>21</v>
      </c>
      <c r="F303" s="136" t="s">
        <v>8</v>
      </c>
      <c r="G303" s="136" t="s">
        <v>9</v>
      </c>
      <c r="H303" s="136" t="s">
        <v>10</v>
      </c>
      <c r="I303" s="136"/>
      <c r="J303" s="136"/>
      <c r="K303" s="136"/>
      <c r="L303" s="136"/>
      <c r="M303" s="136" t="s">
        <v>11</v>
      </c>
    </row>
    <row r="304" spans="1:13" ht="15">
      <c r="A304" s="136"/>
      <c r="B304" s="136"/>
      <c r="C304" s="136"/>
      <c r="D304" s="136"/>
      <c r="E304" s="136"/>
      <c r="F304" s="136"/>
      <c r="G304" s="136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36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7" t="s">
        <v>34</v>
      </c>
      <c r="B306" s="140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38"/>
      <c r="B307" s="141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38"/>
      <c r="B308" s="141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38"/>
      <c r="B309" s="141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38"/>
      <c r="B310" s="141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39"/>
      <c r="B311" s="142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37" t="s">
        <v>42</v>
      </c>
      <c r="B313" s="143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38"/>
      <c r="B314" s="144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38"/>
      <c r="B315" s="144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39"/>
      <c r="B316" s="145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37" t="s">
        <v>44</v>
      </c>
      <c r="B317" s="143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39"/>
      <c r="B318" s="145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37" t="s">
        <v>48</v>
      </c>
      <c r="B319" s="143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39"/>
      <c r="B320" s="145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37" t="s">
        <v>57</v>
      </c>
      <c r="B323" s="143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38"/>
      <c r="B324" s="144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39"/>
      <c r="B325" s="145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37" t="s">
        <v>61</v>
      </c>
      <c r="B326" s="143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39"/>
      <c r="B327" s="145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37" t="s">
        <v>63</v>
      </c>
      <c r="B328" s="143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39"/>
      <c r="B329" s="145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37" t="s">
        <v>65</v>
      </c>
      <c r="B330" s="143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39"/>
      <c r="B331" s="145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37" t="s">
        <v>77</v>
      </c>
      <c r="B335" s="143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38"/>
      <c r="B336" s="144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38"/>
      <c r="B337" s="144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39"/>
      <c r="B338" s="145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46" t="s">
        <v>81</v>
      </c>
      <c r="B340" s="143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48"/>
      <c r="B341" s="144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48"/>
      <c r="B342" s="144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48"/>
      <c r="B343" s="144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48"/>
      <c r="B344" s="144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48"/>
      <c r="B345" s="144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47"/>
      <c r="B346" s="145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46" t="s">
        <v>83</v>
      </c>
      <c r="B347" s="143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48"/>
      <c r="B348" s="144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48"/>
      <c r="B349" s="144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48"/>
      <c r="B350" s="144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48"/>
      <c r="B351" s="144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48"/>
      <c r="B352" s="144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48"/>
      <c r="B353" s="144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47"/>
      <c r="B354" s="145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46" t="s">
        <v>91</v>
      </c>
      <c r="B355" s="143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47"/>
      <c r="B356" s="145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46" t="s">
        <v>98</v>
      </c>
      <c r="B357" s="143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48"/>
      <c r="B358" s="144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48"/>
      <c r="B359" s="144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48"/>
      <c r="B360" s="144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48"/>
      <c r="B361" s="144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47"/>
      <c r="B362" s="145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35" t="s">
        <v>19</v>
      </c>
      <c r="B364" s="135"/>
      <c r="C364" s="135"/>
      <c r="D364" s="135"/>
      <c r="E364" s="135"/>
      <c r="F364" s="135"/>
      <c r="G364" s="135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34" t="s">
        <v>1</v>
      </c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5">
      <c r="A368" s="134" t="s">
        <v>2</v>
      </c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5">
      <c r="A369" s="134" t="s">
        <v>110</v>
      </c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5">
      <c r="A370" s="134" t="s">
        <v>22</v>
      </c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5">
      <c r="A371" s="134" t="s">
        <v>3</v>
      </c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ht="15">
      <c r="A372" s="2"/>
    </row>
    <row r="373" spans="1:13" ht="15">
      <c r="A373" s="135"/>
      <c r="B373" s="135"/>
      <c r="C373" s="136" t="s">
        <v>23</v>
      </c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</row>
    <row r="374" spans="1:13" ht="15">
      <c r="A374" s="135"/>
      <c r="B374" s="135"/>
      <c r="C374" s="136" t="s">
        <v>4</v>
      </c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</row>
    <row r="375" spans="1:13" ht="15">
      <c r="A375" s="136" t="s">
        <v>5</v>
      </c>
      <c r="B375" s="136" t="s">
        <v>20</v>
      </c>
      <c r="C375" s="136" t="s">
        <v>6</v>
      </c>
      <c r="D375" s="136" t="s">
        <v>7</v>
      </c>
      <c r="E375" s="136" t="s">
        <v>21</v>
      </c>
      <c r="F375" s="136" t="s">
        <v>8</v>
      </c>
      <c r="G375" s="136" t="s">
        <v>9</v>
      </c>
      <c r="H375" s="136" t="s">
        <v>10</v>
      </c>
      <c r="I375" s="136"/>
      <c r="J375" s="136"/>
      <c r="K375" s="136"/>
      <c r="L375" s="136"/>
      <c r="M375" s="136" t="s">
        <v>11</v>
      </c>
    </row>
    <row r="376" spans="1:13" ht="15">
      <c r="A376" s="136"/>
      <c r="B376" s="136"/>
      <c r="C376" s="136"/>
      <c r="D376" s="136"/>
      <c r="E376" s="136"/>
      <c r="F376" s="136"/>
      <c r="G376" s="136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36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7" t="s">
        <v>34</v>
      </c>
      <c r="B378" s="140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38"/>
      <c r="B379" s="141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38"/>
      <c r="B380" s="141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38"/>
      <c r="B381" s="141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38"/>
      <c r="B382" s="141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39"/>
      <c r="B383" s="142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37" t="s">
        <v>42</v>
      </c>
      <c r="B385" s="143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38"/>
      <c r="B386" s="144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38"/>
      <c r="B387" s="144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39"/>
      <c r="B388" s="145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37" t="s">
        <v>44</v>
      </c>
      <c r="B389" s="143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39"/>
      <c r="B390" s="145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37" t="s">
        <v>48</v>
      </c>
      <c r="B391" s="143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39"/>
      <c r="B392" s="145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37" t="s">
        <v>57</v>
      </c>
      <c r="B395" s="143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38"/>
      <c r="B396" s="144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39"/>
      <c r="B397" s="145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37" t="s">
        <v>61</v>
      </c>
      <c r="B398" s="143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39"/>
      <c r="B399" s="145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37" t="s">
        <v>63</v>
      </c>
      <c r="B400" s="143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39"/>
      <c r="B401" s="145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37" t="s">
        <v>65</v>
      </c>
      <c r="B402" s="143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39"/>
      <c r="B403" s="145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37" t="s">
        <v>77</v>
      </c>
      <c r="B407" s="143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38"/>
      <c r="B408" s="144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38"/>
      <c r="B409" s="144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39"/>
      <c r="B410" s="145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46" t="s">
        <v>81</v>
      </c>
      <c r="B412" s="143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48"/>
      <c r="B413" s="144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48"/>
      <c r="B414" s="144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48"/>
      <c r="B415" s="144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48"/>
      <c r="B416" s="144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48"/>
      <c r="B417" s="144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47"/>
      <c r="B418" s="145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46" t="s">
        <v>83</v>
      </c>
      <c r="B419" s="143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48"/>
      <c r="B420" s="144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48"/>
      <c r="B421" s="144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48"/>
      <c r="B422" s="144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48"/>
      <c r="B423" s="144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48"/>
      <c r="B424" s="144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48"/>
      <c r="B425" s="144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47"/>
      <c r="B426" s="145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46" t="s">
        <v>91</v>
      </c>
      <c r="B427" s="143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47"/>
      <c r="B428" s="145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46" t="s">
        <v>98</v>
      </c>
      <c r="B429" s="143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48"/>
      <c r="B430" s="144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48"/>
      <c r="B431" s="144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48"/>
      <c r="B432" s="144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48"/>
      <c r="B433" s="144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47"/>
      <c r="B434" s="145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35" t="s">
        <v>19</v>
      </c>
      <c r="B436" s="135"/>
      <c r="C436" s="135"/>
      <c r="D436" s="135"/>
      <c r="E436" s="135"/>
      <c r="F436" s="135"/>
      <c r="G436" s="135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2020-10-26T08:47:55Z</cp:lastPrinted>
  <dcterms:created xsi:type="dcterms:W3CDTF">2014-06-08T13:29:20Z</dcterms:created>
  <dcterms:modified xsi:type="dcterms:W3CDTF">2020-11-12T07:59:44Z</dcterms:modified>
  <cp:category/>
  <cp:version/>
  <cp:contentType/>
  <cp:contentStatus/>
</cp:coreProperties>
</file>