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0995" tabRatio="476" activeTab="0"/>
  </bookViews>
  <sheets>
    <sheet name="Лист1" sheetId="1" r:id="rId1"/>
  </sheets>
  <definedNames>
    <definedName name="_xlnm.Print_Titles" localSheetId="0">'Лист1'!$14:$17</definedName>
    <definedName name="_xlnm.Print_Area" localSheetId="0">'Лист1'!$A$1:$J$107</definedName>
  </definedNames>
  <calcPr fullCalcOnLoad="1"/>
</workbook>
</file>

<file path=xl/comments1.xml><?xml version="1.0" encoding="utf-8"?>
<comments xmlns="http://schemas.openxmlformats.org/spreadsheetml/2006/main">
  <authors>
    <author>smetanina</author>
  </authors>
  <commentList>
    <comment ref="C53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хек</t>
        </r>
      </text>
    </comment>
    <comment ref="C54" authorId="0">
      <text>
        <r>
          <rPr>
            <b/>
            <sz val="8"/>
            <rFont val="Tahoma"/>
            <family val="2"/>
          </rPr>
          <t>smetanina:</t>
        </r>
        <r>
          <rPr>
            <sz val="8"/>
            <rFont val="Tahoma"/>
            <family val="2"/>
          </rPr>
          <t xml:space="preserve">
учреждения бу</t>
        </r>
      </text>
    </comment>
  </commentList>
</comments>
</file>

<file path=xl/sharedStrings.xml><?xml version="1.0" encoding="utf-8"?>
<sst xmlns="http://schemas.openxmlformats.org/spreadsheetml/2006/main" count="158" uniqueCount="78">
  <si>
    <t>к муниципальной программе города Пензы</t>
  </si>
  <si>
    <t>Ресурсное обеспечение</t>
  </si>
  <si>
    <t>Статус</t>
  </si>
  <si>
    <t>Источник финансирования</t>
  </si>
  <si>
    <t>Оценка расходов, тыс. рублей</t>
  </si>
  <si>
    <t>2015 г</t>
  </si>
  <si>
    <t>Муниципальная программа</t>
  </si>
  <si>
    <t>бюджет города Пензы</t>
  </si>
  <si>
    <t>межбюджетные трансферты из бюджета Пензенской области</t>
  </si>
  <si>
    <t>2016 г</t>
  </si>
  <si>
    <t>2017 г</t>
  </si>
  <si>
    <t>2018 г</t>
  </si>
  <si>
    <t>2019 г</t>
  </si>
  <si>
    <t>2020 г</t>
  </si>
  <si>
    <t>Управление образования города Пензы</t>
  </si>
  <si>
    <t>Приложение № 3</t>
  </si>
  <si>
    <t>Наименование муниципальной программы, подпрограммы, мероприятий</t>
  </si>
  <si>
    <t>бюджет Пензенской области</t>
  </si>
  <si>
    <t xml:space="preserve">1. </t>
  </si>
  <si>
    <t>Всего</t>
  </si>
  <si>
    <t>"Развитие образования в городе Пензе на 2015 - 2020 годы"</t>
  </si>
  <si>
    <t>за счет всех источников финансирования</t>
  </si>
  <si>
    <t>реализации муниципальной программы города Пензы "Развитие образования в городе Пензе на 2015-2020 годы"</t>
  </si>
  <si>
    <t>№ п/п</t>
  </si>
  <si>
    <t>Развитие образования в городе Пензе на 2015 - 2020 годы</t>
  </si>
  <si>
    <t>Ответственный исполнитель муниципальной программы города Пензы</t>
  </si>
  <si>
    <t>Мероприятие 1.1. Создание условий для предоставления общедоступного и бесплатного дошкольного образования, содержание, присмотр и уход за детьми в дошкольных образовательных учреждениях</t>
  </si>
  <si>
    <t>Мероприятие 1.2. Оптимизация и расширение сети дошкольных образовательных учреждений (предоставление дополнительных мест)</t>
  </si>
  <si>
    <t>Мероприятие 2.2. Исполнение отдельных государственных полномочий по организации и осуществлению деятельности по опеке и попечительству</t>
  </si>
  <si>
    <t>Мероприятие 1.6. Организация обучения по программам дополнительного образования</t>
  </si>
  <si>
    <t>Мероприятие 1.9. Обеспечение обучающихся 1-11 классов горячим питанием</t>
  </si>
  <si>
    <t>всего по Программе</t>
  </si>
  <si>
    <t>всего по Подпрограмме 1</t>
  </si>
  <si>
    <t>Развитие дошкольного, общего и дополнительного образования</t>
  </si>
  <si>
    <t>Подпрограмма 1</t>
  </si>
  <si>
    <t>в том числе:</t>
  </si>
  <si>
    <t>в том числе по мероприятиям:</t>
  </si>
  <si>
    <t>Подпрограмма 2</t>
  </si>
  <si>
    <t xml:space="preserve"> Управление развитием отрасли образования в городе Пензе</t>
  </si>
  <si>
    <t>всего по Подпрограмме 2</t>
  </si>
  <si>
    <t>Мероприятие 1.4. Исполнение отдельных государственных полномочий в сфере образования по финансированию частных дошкольных образовательных организаций</t>
  </si>
  <si>
    <t>Мероприятие 2.4. Исполнение отдельных государственных полномочий в сфере образования по финансированию частных дошкольных образовательных организаций (администрирование)</t>
  </si>
  <si>
    <t>Мероприятие 1.5. Создание условий для предоставления общедоступного и бесплатного общего образования</t>
  </si>
  <si>
    <t>Мероприятие 1.13. Организация работ по обслуживанию зданий, помещений, сооружений, территорий учреждений образования, транспортное обеспечение и техническое сопровождение</t>
  </si>
  <si>
    <t>Мероприятие 1.16.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 в имеющих государственную аккредитацию образовательных организациях, расположенных на территории Пензенской области</t>
  </si>
  <si>
    <t>Мероприятие 2.1. Руководство и управление в сфере установленных функций</t>
  </si>
  <si>
    <t>Мероприятие 1.3.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</si>
  <si>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Мероприятие 2.5.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(администрирование)</t>
  </si>
  <si>
    <t>Мероприятие 1.8. Организация дотационного и бесплатного льготного питания дошкольников</t>
  </si>
  <si>
    <t>к постановлению администрации города Пензы</t>
  </si>
  <si>
    <t>Администрация Железнодорожного района города Пензы</t>
  </si>
  <si>
    <t>Мероприятие 1.10. Организация отдыха детей в оздоровительных лагерях с дневным пребыванием детей в каникулярное время</t>
  </si>
  <si>
    <t xml:space="preserve">Администрация Ленинского района города Пензы </t>
  </si>
  <si>
    <t xml:space="preserve">Администрация Октябрьского района города Пензы </t>
  </si>
  <si>
    <t xml:space="preserve">Администрация Первомайского района города Пензы </t>
  </si>
  <si>
    <t>Мероприятие 1.7. Организация отдыха детей в загородных стационарных детских лагерях в каникулярное время</t>
  </si>
  <si>
    <t>Мероприятие 1.11. Приведение зданий, сооружений, территории и материально- технической базы дошкольных образовательных учреждений в соответствие с современными требованиями и нормами</t>
  </si>
  <si>
    <t>Мероприятие 1.12. Приведение зданий, сооружений, территории и материально- технической базы учреждений общего и дополнительного образования в соответствие с современными требованиями и нормами</t>
  </si>
  <si>
    <t>Мероприятие 1.15.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</t>
  </si>
  <si>
    <t xml:space="preserve">Мероприятие 1.16.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 </t>
  </si>
  <si>
    <t>Мероприятие 1.17. Выявление, поддержка талантливых детей и подростков, а также руководящих и педагогических работников</t>
  </si>
  <si>
    <t>Мероприятие 1.18. Организация мероприятий в общеобразовательных учреждениях и учреждениях дополнительного образования</t>
  </si>
  <si>
    <t>Мероприятие 1.19. Мероприятия по выполнению наказов избирателей, поступивших депутатам Пензенской городской Думы по учреждениям образования</t>
  </si>
  <si>
    <t>Мероприятие 2.6. Осуществление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поддержки, установленных законом Пензенской области от 12.09.2006 № 1098-ЗПО (администрирование)</t>
  </si>
  <si>
    <t>Первый заместитель главы  администрации города Пензы</t>
  </si>
  <si>
    <t>Мероприятие 1.20.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</si>
  <si>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дошкольных образовательных организаций)</t>
  </si>
  <si>
    <t>Мероприятие 2.7.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 расходов в части финансирования общеобразовательных организаций)</t>
  </si>
  <si>
    <t>Мероприятие 1.14. Сопровождение образовательной и хозяйственной деятельности муниципальных образовательных учреждений, а также обеспечение содержания их зданий, сооружений, обустройства прилегающих к ним территорий</t>
  </si>
  <si>
    <t>Мероприятие 2.3.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 (администрирование)</t>
  </si>
  <si>
    <t>С.В.Волков</t>
  </si>
  <si>
    <t>Мероприятие 1.21. Создание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</t>
  </si>
  <si>
    <t>федеральный бюджет</t>
  </si>
  <si>
    <t xml:space="preserve">межбюджетные трансферты из федерального бюджета </t>
  </si>
  <si>
    <t xml:space="preserve">Комитет по физической культуре, спорту и молодежной политике города Пензы
</t>
  </si>
  <si>
    <t>Приложение № 1</t>
  </si>
  <si>
    <t>Мероприятие 1.22. Организация питания дошкольников</t>
  </si>
  <si>
    <t xml:space="preserve">                        от  21.12.2017  № 2471/5          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</si>
</sst>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0.000"/>
    <numFmt numFmtId="171" formatCode="#,##0.00000"/>
    <numFmt numFmtId="172" formatCode="#,##0.0000"/>
    <numFmt numFmtId="173" formatCode="#,##0.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top" wrapText="1"/>
    </xf>
    <xf numFmtId="168" fontId="2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vertical="top" wrapText="1"/>
    </xf>
    <xf numFmtId="168" fontId="47" fillId="0" borderId="0" xfId="0" applyNumberFormat="1" applyFont="1" applyFill="1" applyBorder="1" applyAlignment="1">
      <alignment vertical="top" wrapText="1"/>
    </xf>
    <xf numFmtId="0" fontId="46" fillId="0" borderId="0" xfId="0" applyFont="1" applyFill="1" applyAlignment="1">
      <alignment vertical="top"/>
    </xf>
    <xf numFmtId="168" fontId="46" fillId="0" borderId="0" xfId="0" applyNumberFormat="1" applyFont="1" applyFill="1" applyAlignment="1">
      <alignment/>
    </xf>
    <xf numFmtId="4" fontId="46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right" vertical="top" wrapText="1"/>
    </xf>
    <xf numFmtId="4" fontId="4" fillId="0" borderId="11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/>
    </xf>
    <xf numFmtId="168" fontId="3" fillId="0" borderId="0" xfId="0" applyNumberFormat="1" applyFont="1" applyFill="1" applyBorder="1" applyAlignment="1">
      <alignment vertical="top"/>
    </xf>
    <xf numFmtId="0" fontId="4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168" fontId="3" fillId="0" borderId="0" xfId="0" applyNumberFormat="1" applyFont="1" applyFill="1" applyAlignment="1">
      <alignment vertical="top"/>
    </xf>
    <xf numFmtId="168" fontId="2" fillId="0" borderId="10" xfId="0" applyNumberFormat="1" applyFont="1" applyFill="1" applyBorder="1" applyAlignment="1">
      <alignment horizontal="right" vertical="top" wrapText="1"/>
    </xf>
    <xf numFmtId="169" fontId="4" fillId="0" borderId="10" xfId="0" applyNumberFormat="1" applyFont="1" applyFill="1" applyBorder="1" applyAlignment="1">
      <alignment vertical="top" wrapText="1"/>
    </xf>
    <xf numFmtId="169" fontId="4" fillId="0" borderId="10" xfId="0" applyNumberFormat="1" applyFont="1" applyFill="1" applyBorder="1" applyAlignment="1">
      <alignment horizontal="right" vertical="top" wrapText="1"/>
    </xf>
    <xf numFmtId="169" fontId="2" fillId="0" borderId="10" xfId="0" applyNumberFormat="1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left" vertical="top" wrapText="1"/>
    </xf>
    <xf numFmtId="168" fontId="2" fillId="0" borderId="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68" fontId="3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172" fontId="3" fillId="0" borderId="0" xfId="0" applyNumberFormat="1" applyFont="1" applyFill="1" applyAlignment="1">
      <alignment vertical="top"/>
    </xf>
    <xf numFmtId="171" fontId="2" fillId="0" borderId="10" xfId="0" applyNumberFormat="1" applyFont="1" applyFill="1" applyBorder="1" applyAlignment="1">
      <alignment vertical="top" wrapText="1"/>
    </xf>
    <xf numFmtId="173" fontId="3" fillId="0" borderId="0" xfId="0" applyNumberFormat="1" applyFont="1" applyFill="1" applyAlignment="1">
      <alignment vertical="top"/>
    </xf>
    <xf numFmtId="171" fontId="4" fillId="0" borderId="10" xfId="0" applyNumberFormat="1" applyFont="1" applyFill="1" applyBorder="1" applyAlignment="1">
      <alignment vertical="top" wrapText="1"/>
    </xf>
    <xf numFmtId="171" fontId="4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center" vertical="top" wrapText="1"/>
    </xf>
    <xf numFmtId="0" fontId="47" fillId="0" borderId="16" xfId="0" applyFont="1" applyFill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view="pageBreakPreview" zoomScaleSheetLayoutView="100" zoomScalePageLayoutView="0" workbookViewId="0" topLeftCell="A1">
      <pane xSplit="4" ySplit="18" topLeftCell="E19" activePane="bottomRight" state="frozen"/>
      <selection pane="topLeft" activeCell="A1" sqref="A1"/>
      <selection pane="topRight" activeCell="E1" sqref="E1"/>
      <selection pane="bottomLeft" activeCell="A21" sqref="A21"/>
      <selection pane="bottomRight" activeCell="H3" sqref="H3:J3"/>
    </sheetView>
  </sheetViews>
  <sheetFormatPr defaultColWidth="9.140625" defaultRowHeight="15"/>
  <cols>
    <col min="1" max="1" width="4.57421875" style="4" customWidth="1"/>
    <col min="2" max="2" width="17.28125" style="4" customWidth="1"/>
    <col min="3" max="3" width="38.8515625" style="4" customWidth="1"/>
    <col min="4" max="4" width="21.28125" style="4" customWidth="1"/>
    <col min="5" max="5" width="11.7109375" style="4" customWidth="1"/>
    <col min="6" max="6" width="13.00390625" style="4" customWidth="1"/>
    <col min="7" max="7" width="14.140625" style="3" customWidth="1"/>
    <col min="8" max="8" width="12.140625" style="3" customWidth="1"/>
    <col min="9" max="9" width="12.00390625" style="3" customWidth="1"/>
    <col min="10" max="10" width="12.28125" style="4" customWidth="1"/>
    <col min="11" max="11" width="16.7109375" style="3" hidden="1" customWidth="1"/>
    <col min="12" max="16384" width="9.140625" style="4" customWidth="1"/>
  </cols>
  <sheetData>
    <row r="1" spans="8:10" s="3" customFormat="1" ht="15">
      <c r="H1" s="58" t="s">
        <v>75</v>
      </c>
      <c r="I1" s="58"/>
      <c r="J1" s="58"/>
    </row>
    <row r="2" spans="7:10" s="3" customFormat="1" ht="15">
      <c r="G2" s="59" t="s">
        <v>49</v>
      </c>
      <c r="H2" s="59"/>
      <c r="I2" s="59"/>
      <c r="J2" s="59"/>
    </row>
    <row r="3" spans="8:10" s="3" customFormat="1" ht="15">
      <c r="H3" s="60" t="s">
        <v>77</v>
      </c>
      <c r="I3" s="60"/>
      <c r="J3" s="60"/>
    </row>
    <row r="4" ht="15.75" customHeight="1"/>
    <row r="5" spans="6:10" ht="15">
      <c r="F5" s="59" t="s">
        <v>15</v>
      </c>
      <c r="G5" s="59"/>
      <c r="H5" s="59"/>
      <c r="I5" s="59"/>
      <c r="J5" s="59"/>
    </row>
    <row r="6" spans="6:10" ht="15">
      <c r="F6" s="59" t="s">
        <v>0</v>
      </c>
      <c r="G6" s="59"/>
      <c r="H6" s="59"/>
      <c r="I6" s="59"/>
      <c r="J6" s="59"/>
    </row>
    <row r="7" spans="6:10" ht="15">
      <c r="F7" s="59" t="s">
        <v>20</v>
      </c>
      <c r="G7" s="59"/>
      <c r="H7" s="59"/>
      <c r="I7" s="59"/>
      <c r="J7" s="59"/>
    </row>
    <row r="8" spans="6:10" ht="15">
      <c r="F8" s="3"/>
      <c r="J8" s="3"/>
    </row>
    <row r="9" spans="3:6" ht="15">
      <c r="C9" s="3"/>
      <c r="D9" s="14" t="s">
        <v>1</v>
      </c>
      <c r="E9" s="3"/>
      <c r="F9" s="3"/>
    </row>
    <row r="10" spans="3:6" ht="15">
      <c r="C10" s="3"/>
      <c r="D10" s="14" t="s">
        <v>22</v>
      </c>
      <c r="E10" s="3"/>
      <c r="F10" s="3"/>
    </row>
    <row r="11" spans="3:6" ht="15">
      <c r="C11" s="3"/>
      <c r="D11" s="14" t="s">
        <v>21</v>
      </c>
      <c r="E11" s="3"/>
      <c r="F11" s="3"/>
    </row>
    <row r="12" ht="15" hidden="1">
      <c r="D12" s="5"/>
    </row>
    <row r="13" ht="15"/>
    <row r="14" spans="1:10" s="3" customFormat="1" ht="15">
      <c r="A14" s="61" t="s">
        <v>23</v>
      </c>
      <c r="B14" s="65" t="s">
        <v>2</v>
      </c>
      <c r="C14" s="61" t="s">
        <v>16</v>
      </c>
      <c r="D14" s="73" t="s">
        <v>25</v>
      </c>
      <c r="E14" s="74"/>
      <c r="F14" s="74"/>
      <c r="G14" s="74"/>
      <c r="H14" s="74"/>
      <c r="I14" s="74"/>
      <c r="J14" s="75"/>
    </row>
    <row r="15" spans="1:10" s="3" customFormat="1" ht="15">
      <c r="A15" s="61"/>
      <c r="B15" s="66"/>
      <c r="C15" s="61"/>
      <c r="D15" s="62" t="s">
        <v>14</v>
      </c>
      <c r="E15" s="63"/>
      <c r="F15" s="63"/>
      <c r="G15" s="63"/>
      <c r="H15" s="63"/>
      <c r="I15" s="63"/>
      <c r="J15" s="64"/>
    </row>
    <row r="16" spans="1:10" s="3" customFormat="1" ht="25.5" customHeight="1">
      <c r="A16" s="61"/>
      <c r="B16" s="66"/>
      <c r="C16" s="61"/>
      <c r="D16" s="15" t="s">
        <v>3</v>
      </c>
      <c r="E16" s="61" t="s">
        <v>4</v>
      </c>
      <c r="F16" s="61"/>
      <c r="G16" s="61"/>
      <c r="H16" s="61"/>
      <c r="I16" s="61"/>
      <c r="J16" s="61"/>
    </row>
    <row r="17" spans="1:10" s="3" customFormat="1" ht="15">
      <c r="A17" s="61"/>
      <c r="B17" s="67"/>
      <c r="C17" s="61"/>
      <c r="D17" s="1"/>
      <c r="E17" s="15" t="s">
        <v>5</v>
      </c>
      <c r="F17" s="15" t="s">
        <v>9</v>
      </c>
      <c r="G17" s="15" t="s">
        <v>10</v>
      </c>
      <c r="H17" s="15" t="s">
        <v>11</v>
      </c>
      <c r="I17" s="15" t="s">
        <v>12</v>
      </c>
      <c r="J17" s="15" t="s">
        <v>13</v>
      </c>
    </row>
    <row r="18" spans="1:10" s="3" customFormat="1" ht="12" customHeight="1">
      <c r="A18" s="16">
        <v>1</v>
      </c>
      <c r="B18" s="16">
        <v>2</v>
      </c>
      <c r="C18" s="16">
        <v>3</v>
      </c>
      <c r="D18" s="16">
        <v>4</v>
      </c>
      <c r="E18" s="16">
        <v>5</v>
      </c>
      <c r="F18" s="16">
        <v>6</v>
      </c>
      <c r="G18" s="16">
        <v>7</v>
      </c>
      <c r="H18" s="16">
        <v>8</v>
      </c>
      <c r="I18" s="16">
        <v>9</v>
      </c>
      <c r="J18" s="16">
        <v>10</v>
      </c>
    </row>
    <row r="19" spans="1:11" ht="15" customHeight="1">
      <c r="A19" s="69"/>
      <c r="B19" s="49" t="s">
        <v>6</v>
      </c>
      <c r="C19" s="49" t="s">
        <v>24</v>
      </c>
      <c r="D19" s="29" t="s">
        <v>31</v>
      </c>
      <c r="E19" s="21">
        <f>E21+E22</f>
        <v>4201319</v>
      </c>
      <c r="F19" s="32">
        <f>F21+F22+F23</f>
        <v>4359158.426999999</v>
      </c>
      <c r="G19" s="43">
        <f>G21+G22+G23</f>
        <v>4607345.01009</v>
      </c>
      <c r="H19" s="18">
        <f>H21+H22+H23</f>
        <v>4577405.8</v>
      </c>
      <c r="I19" s="18">
        <f>I21+I22+I23</f>
        <v>4652859.899999999</v>
      </c>
      <c r="J19" s="18">
        <f>J21+J22+J23</f>
        <v>4110129.8000000003</v>
      </c>
      <c r="K19" s="42">
        <f>E19+F19+G19+H19+I19+J19</f>
        <v>26508217.93709</v>
      </c>
    </row>
    <row r="20" spans="1:11" ht="15">
      <c r="A20" s="70"/>
      <c r="B20" s="54"/>
      <c r="C20" s="54"/>
      <c r="D20" s="46" t="s">
        <v>35</v>
      </c>
      <c r="E20" s="47"/>
      <c r="F20" s="47"/>
      <c r="G20" s="47"/>
      <c r="H20" s="47"/>
      <c r="I20" s="47"/>
      <c r="J20" s="48"/>
      <c r="K20" s="42">
        <f aca="true" t="shared" si="0" ref="K20:K85">E20+F20+G20+H20+I20+J20</f>
        <v>0</v>
      </c>
    </row>
    <row r="21" spans="1:11" ht="15" customHeight="1">
      <c r="A21" s="70"/>
      <c r="B21" s="54"/>
      <c r="C21" s="54"/>
      <c r="D21" s="29" t="s">
        <v>7</v>
      </c>
      <c r="E21" s="21">
        <f>E30+E61+E67+E73+E78+E92</f>
        <v>1268780.3</v>
      </c>
      <c r="F21" s="32">
        <f>F30+F61+F67+F73+F78+F92+F84</f>
        <v>1279712.2270000002</v>
      </c>
      <c r="G21" s="43">
        <f>G30+G61+G67+G73+G78+G92+G84</f>
        <v>1396810.2456899998</v>
      </c>
      <c r="H21" s="18">
        <f>H30+H61+H67+H73+H78+H92+H84</f>
        <v>1289885.9</v>
      </c>
      <c r="I21" s="18">
        <f>I30+I61+I67+I73+I78+I92+I84</f>
        <v>1237632.8</v>
      </c>
      <c r="J21" s="18">
        <f>J30+J61+J67+J73+J78+J92+J84</f>
        <v>1402887.1</v>
      </c>
      <c r="K21" s="42">
        <f t="shared" si="0"/>
        <v>7875708.572690001</v>
      </c>
    </row>
    <row r="22" spans="1:11" ht="40.5" customHeight="1">
      <c r="A22" s="70"/>
      <c r="B22" s="54"/>
      <c r="C22" s="54"/>
      <c r="D22" s="29" t="s">
        <v>8</v>
      </c>
      <c r="E22" s="21">
        <f>E31+E62+E68+E74+E79+E93</f>
        <v>2932538.7</v>
      </c>
      <c r="F22" s="18">
        <f>F31+F62+F68+F74+F79+F93</f>
        <v>3076042.8999999994</v>
      </c>
      <c r="G22" s="43">
        <f>G31+G62+G68+G74+G79+G93</f>
        <v>3210534.7644</v>
      </c>
      <c r="H22" s="18">
        <f>H31+H62+H68+H74+H79+H93</f>
        <v>3287519.9</v>
      </c>
      <c r="I22" s="18">
        <f>I31+I62+I68+I74+I79+I93</f>
        <v>3415227.0999999996</v>
      </c>
      <c r="J22" s="18">
        <f>J31+J62+J68+J74+J79+J93</f>
        <v>2707242.7</v>
      </c>
      <c r="K22" s="42">
        <f t="shared" si="0"/>
        <v>18629106.0644</v>
      </c>
    </row>
    <row r="23" spans="1:11" ht="40.5" customHeight="1">
      <c r="A23" s="71"/>
      <c r="B23" s="50"/>
      <c r="C23" s="50"/>
      <c r="D23" s="29" t="s">
        <v>73</v>
      </c>
      <c r="E23" s="21">
        <f aca="true" t="shared" si="1" ref="E23:J23">E28</f>
        <v>0</v>
      </c>
      <c r="F23" s="21">
        <f t="shared" si="1"/>
        <v>3403.3</v>
      </c>
      <c r="G23" s="21">
        <f t="shared" si="1"/>
        <v>0</v>
      </c>
      <c r="H23" s="21">
        <f t="shared" si="1"/>
        <v>0</v>
      </c>
      <c r="I23" s="21">
        <f t="shared" si="1"/>
        <v>0</v>
      </c>
      <c r="J23" s="21">
        <f t="shared" si="1"/>
        <v>0</v>
      </c>
      <c r="K23" s="40">
        <f t="shared" si="0"/>
        <v>3403.3</v>
      </c>
    </row>
    <row r="24" spans="1:11" ht="15.75" customHeight="1">
      <c r="A24" s="65" t="s">
        <v>18</v>
      </c>
      <c r="B24" s="65" t="s">
        <v>34</v>
      </c>
      <c r="C24" s="49" t="s">
        <v>33</v>
      </c>
      <c r="D24" s="29" t="s">
        <v>32</v>
      </c>
      <c r="E24" s="21">
        <f aca="true" t="shared" si="2" ref="E24:J24">E26+E27+E28</f>
        <v>4159705.2</v>
      </c>
      <c r="F24" s="32">
        <f t="shared" si="2"/>
        <v>4319202.226999999</v>
      </c>
      <c r="G24" s="43">
        <f t="shared" si="2"/>
        <v>4563229.51009</v>
      </c>
      <c r="H24" s="18">
        <f t="shared" si="2"/>
        <v>4536612.3</v>
      </c>
      <c r="I24" s="18">
        <f t="shared" si="2"/>
        <v>4612060.5</v>
      </c>
      <c r="J24" s="18">
        <f t="shared" si="2"/>
        <v>4066619.9000000004</v>
      </c>
      <c r="K24" s="40">
        <f t="shared" si="0"/>
        <v>26257429.637089998</v>
      </c>
    </row>
    <row r="25" spans="1:11" ht="15">
      <c r="A25" s="66"/>
      <c r="B25" s="66"/>
      <c r="C25" s="54"/>
      <c r="D25" s="72" t="s">
        <v>35</v>
      </c>
      <c r="E25" s="72"/>
      <c r="F25" s="72"/>
      <c r="G25" s="72"/>
      <c r="H25" s="72"/>
      <c r="I25" s="72"/>
      <c r="J25" s="72"/>
      <c r="K25" s="40">
        <f t="shared" si="0"/>
        <v>0</v>
      </c>
    </row>
    <row r="26" spans="1:11" ht="25.5">
      <c r="A26" s="66"/>
      <c r="B26" s="66"/>
      <c r="C26" s="54"/>
      <c r="D26" s="29" t="s">
        <v>7</v>
      </c>
      <c r="E26" s="22">
        <f>E30+E61+E73+E67+E78</f>
        <v>1232568.2</v>
      </c>
      <c r="F26" s="33">
        <f>F30+F61+F73+F67+F78+F84</f>
        <v>1244964.127</v>
      </c>
      <c r="G26" s="44">
        <f>G30+G61+G73+G67+G78+G84</f>
        <v>1360223.2456899998</v>
      </c>
      <c r="H26" s="19">
        <f>H30+H61+H73+H67+H78+H84</f>
        <v>1256748.2</v>
      </c>
      <c r="I26" s="19">
        <f>I30+I61+I73+I67+I78+I84</f>
        <v>1204533.2</v>
      </c>
      <c r="J26" s="19">
        <f>J30+J61+J73+J67+J78+J84</f>
        <v>1364721.7000000002</v>
      </c>
      <c r="K26" s="40">
        <f t="shared" si="0"/>
        <v>7663758.67269</v>
      </c>
    </row>
    <row r="27" spans="1:11" ht="51">
      <c r="A27" s="66"/>
      <c r="B27" s="66"/>
      <c r="C27" s="54"/>
      <c r="D27" s="29" t="s">
        <v>8</v>
      </c>
      <c r="E27" s="22">
        <f>E31+E62+E74+E68+E79</f>
        <v>2927137</v>
      </c>
      <c r="F27" s="19">
        <f>F31+F62+F74+F68+F79</f>
        <v>3070834.7999999993</v>
      </c>
      <c r="G27" s="44">
        <f>G31+G62+G74+G68+G79</f>
        <v>3203006.2644</v>
      </c>
      <c r="H27" s="19">
        <f>H31+H62+H74+H68+H79</f>
        <v>3279864.1</v>
      </c>
      <c r="I27" s="19">
        <f>I31+I62+I74+I68+I79</f>
        <v>3407527.3</v>
      </c>
      <c r="J27" s="19">
        <f>J31+J62+J74+J68+J79</f>
        <v>2701898.2</v>
      </c>
      <c r="K27" s="40">
        <f t="shared" si="0"/>
        <v>18590267.664399996</v>
      </c>
    </row>
    <row r="28" spans="1:11" ht="51">
      <c r="A28" s="66"/>
      <c r="B28" s="66"/>
      <c r="C28" s="50"/>
      <c r="D28" s="29" t="s">
        <v>73</v>
      </c>
      <c r="E28" s="22">
        <f aca="true" t="shared" si="3" ref="E28:J28">E32</f>
        <v>0</v>
      </c>
      <c r="F28" s="22">
        <f t="shared" si="3"/>
        <v>3403.3</v>
      </c>
      <c r="G28" s="22">
        <f t="shared" si="3"/>
        <v>0</v>
      </c>
      <c r="H28" s="22">
        <f t="shared" si="3"/>
        <v>0</v>
      </c>
      <c r="I28" s="22">
        <f t="shared" si="3"/>
        <v>0</v>
      </c>
      <c r="J28" s="22">
        <f t="shared" si="3"/>
        <v>0</v>
      </c>
      <c r="K28" s="40">
        <f t="shared" si="0"/>
        <v>3403.3</v>
      </c>
    </row>
    <row r="29" spans="1:11" ht="15">
      <c r="A29" s="66"/>
      <c r="B29" s="66"/>
      <c r="C29" s="51" t="s">
        <v>14</v>
      </c>
      <c r="D29" s="51"/>
      <c r="E29" s="51"/>
      <c r="F29" s="51"/>
      <c r="G29" s="51"/>
      <c r="H29" s="51"/>
      <c r="I29" s="51"/>
      <c r="J29" s="51"/>
      <c r="K29" s="40">
        <f t="shared" si="0"/>
        <v>0</v>
      </c>
    </row>
    <row r="30" spans="1:11" ht="25.5">
      <c r="A30" s="66"/>
      <c r="B30" s="66"/>
      <c r="C30" s="76" t="s">
        <v>19</v>
      </c>
      <c r="D30" s="29" t="s">
        <v>7</v>
      </c>
      <c r="E30" s="21">
        <f aca="true" t="shared" si="4" ref="E30:J30">E34+E35+E38+E39+E40+E41+E42+E43+E45+E46+E48+E49+E53+E54+E55</f>
        <v>1228894.7</v>
      </c>
      <c r="F30" s="32">
        <f t="shared" si="4"/>
        <v>1241102.327</v>
      </c>
      <c r="G30" s="43">
        <f>G34+G35+G38+G39+G40+G41+G42+G43+G45+G46+G48+G49+G53+G54+G55+G59</f>
        <v>1356382.5456899998</v>
      </c>
      <c r="H30" s="18">
        <f t="shared" si="4"/>
        <v>1253061.4</v>
      </c>
      <c r="I30" s="18">
        <f t="shared" si="4"/>
        <v>1200846.4</v>
      </c>
      <c r="J30" s="18">
        <f t="shared" si="4"/>
        <v>1364721.7000000002</v>
      </c>
      <c r="K30" s="40">
        <f t="shared" si="0"/>
        <v>7645009.07269</v>
      </c>
    </row>
    <row r="31" spans="1:11" ht="42.75" customHeight="1">
      <c r="A31" s="66"/>
      <c r="B31" s="66"/>
      <c r="C31" s="76"/>
      <c r="D31" s="29" t="s">
        <v>8</v>
      </c>
      <c r="E31" s="21">
        <f aca="true" t="shared" si="5" ref="E31:J31">E36+E37+E44+E50+E51+E52+E56+E57</f>
        <v>2895912.3</v>
      </c>
      <c r="F31" s="21">
        <f t="shared" si="5"/>
        <v>3037653.5999999996</v>
      </c>
      <c r="G31" s="43">
        <f>G36+G37+G44+G50+G51+G52+G56+G57+G47</f>
        <v>3164913.1644</v>
      </c>
      <c r="H31" s="18">
        <f t="shared" si="5"/>
        <v>3279864.1</v>
      </c>
      <c r="I31" s="18">
        <f t="shared" si="5"/>
        <v>3407527.3</v>
      </c>
      <c r="J31" s="18">
        <f t="shared" si="5"/>
        <v>2701898.2</v>
      </c>
      <c r="K31" s="40">
        <f t="shared" si="0"/>
        <v>18487768.664399996</v>
      </c>
    </row>
    <row r="32" spans="1:11" ht="42.75" customHeight="1">
      <c r="A32" s="66"/>
      <c r="B32" s="66"/>
      <c r="C32" s="76"/>
      <c r="D32" s="29" t="s">
        <v>73</v>
      </c>
      <c r="E32" s="21">
        <f aca="true" t="shared" si="6" ref="E32:J32">E58</f>
        <v>0</v>
      </c>
      <c r="F32" s="21">
        <f t="shared" si="6"/>
        <v>3403.3</v>
      </c>
      <c r="G32" s="21">
        <f t="shared" si="6"/>
        <v>0</v>
      </c>
      <c r="H32" s="21">
        <f t="shared" si="6"/>
        <v>0</v>
      </c>
      <c r="I32" s="21">
        <f t="shared" si="6"/>
        <v>0</v>
      </c>
      <c r="J32" s="21">
        <f t="shared" si="6"/>
        <v>0</v>
      </c>
      <c r="K32" s="40">
        <f t="shared" si="0"/>
        <v>3403.3</v>
      </c>
    </row>
    <row r="33" spans="1:11" ht="15">
      <c r="A33" s="66"/>
      <c r="B33" s="66"/>
      <c r="C33" s="46" t="s">
        <v>36</v>
      </c>
      <c r="D33" s="47"/>
      <c r="E33" s="47"/>
      <c r="F33" s="47"/>
      <c r="G33" s="47"/>
      <c r="H33" s="47"/>
      <c r="I33" s="47"/>
      <c r="J33" s="48"/>
      <c r="K33" s="40">
        <f t="shared" si="0"/>
        <v>0</v>
      </c>
    </row>
    <row r="34" spans="1:14" ht="76.5">
      <c r="A34" s="66"/>
      <c r="B34" s="66"/>
      <c r="C34" s="26" t="s">
        <v>26</v>
      </c>
      <c r="D34" s="1" t="s">
        <v>7</v>
      </c>
      <c r="E34" s="2">
        <f>330539.2-13971.2-178.6+631.8-351.8+1602.7+52.5+3228.2-15.6-1019.4</f>
        <v>320517.80000000005</v>
      </c>
      <c r="F34" s="2">
        <f>347407.5-968-1908-54-433.5+222-4318.5-94.9-2124.2-418.1-33.4-1340+1634.2+39.7-92.1-2590.9+92.7-55.9</f>
        <v>334964.6</v>
      </c>
      <c r="G34" s="41">
        <f>446458.7-24738.3-39667.5-27051.4-12304.9-420.3-46.8+2792.3+85+874-874+1385.8+457.9+8.7+458.5+8+11134.24418+615.98618+29.5421</f>
        <v>359205.47246</v>
      </c>
      <c r="H34" s="2">
        <f>439416.7-104738.3</f>
        <v>334678.4</v>
      </c>
      <c r="I34" s="2">
        <f>438450.4-104738.3</f>
        <v>333712.10000000003</v>
      </c>
      <c r="J34" s="2">
        <v>354942.6</v>
      </c>
      <c r="K34" s="40">
        <f t="shared" si="0"/>
        <v>2038020.9724600003</v>
      </c>
      <c r="M34" s="12"/>
      <c r="N34" s="12"/>
    </row>
    <row r="35" spans="1:14" ht="39.75" customHeight="1">
      <c r="A35" s="66"/>
      <c r="B35" s="66"/>
      <c r="C35" s="26" t="s">
        <v>27</v>
      </c>
      <c r="D35" s="1" t="s">
        <v>7</v>
      </c>
      <c r="E35" s="2">
        <f>26922.3-2191-12646.7-212.7-187.9-136.9-240.2</f>
        <v>11306.899999999998</v>
      </c>
      <c r="F35" s="2">
        <f>1603.1+7499.7-5915.1-452.4</f>
        <v>2735.299999999999</v>
      </c>
      <c r="G35" s="2">
        <f>12480.8+138-80+1015.1-800</f>
        <v>12753.9</v>
      </c>
      <c r="H35" s="2">
        <v>52412.4</v>
      </c>
      <c r="I35" s="2">
        <v>2196.7</v>
      </c>
      <c r="J35" s="2">
        <v>14709</v>
      </c>
      <c r="K35" s="40">
        <f t="shared" si="0"/>
        <v>96114.2</v>
      </c>
      <c r="M35" s="12"/>
      <c r="N35" s="12"/>
    </row>
    <row r="36" spans="1:14" ht="78" customHeight="1">
      <c r="A36" s="66"/>
      <c r="B36" s="66"/>
      <c r="C36" s="1" t="s">
        <v>46</v>
      </c>
      <c r="D36" s="1" t="s">
        <v>17</v>
      </c>
      <c r="E36" s="2">
        <f>1433304.7+1242544.7-55754.9+24845.8+869+43009.7+919.9-1454.5+7243.2+8300.7+5624.4</f>
        <v>2709452.7</v>
      </c>
      <c r="F36" s="2">
        <f>2728125.3+13864.7+26703.5+12374.3+242.8+7683.6+30207.7+596.4</f>
        <v>2819798.3</v>
      </c>
      <c r="G36" s="2">
        <f>2884053.5+12519.5+7174.4+2885.4+5920.3+7787.7+11148.7+15.7</f>
        <v>2931505.2</v>
      </c>
      <c r="H36" s="2">
        <v>3049390</v>
      </c>
      <c r="I36" s="2">
        <v>3171934.9</v>
      </c>
      <c r="J36" s="2">
        <v>2533178.9</v>
      </c>
      <c r="K36" s="40">
        <f t="shared" si="0"/>
        <v>17215260</v>
      </c>
      <c r="M36" s="12"/>
      <c r="N36" s="12"/>
    </row>
    <row r="37" spans="1:14" ht="54.75" customHeight="1">
      <c r="A37" s="66"/>
      <c r="B37" s="66"/>
      <c r="C37" s="1" t="s">
        <v>40</v>
      </c>
      <c r="D37" s="1" t="s">
        <v>17</v>
      </c>
      <c r="E37" s="2">
        <f>7458.6-284.1+187-1091.7-72</f>
        <v>6197.8</v>
      </c>
      <c r="F37" s="2">
        <f>6543.9-197.4-9.2</f>
        <v>6337.3</v>
      </c>
      <c r="G37" s="2">
        <f>6617.8+64.1+28.3-689.1-124.8</f>
        <v>5896.3</v>
      </c>
      <c r="H37" s="2">
        <v>6882</v>
      </c>
      <c r="I37" s="2">
        <v>7129.4</v>
      </c>
      <c r="J37" s="2">
        <v>7186.7</v>
      </c>
      <c r="K37" s="40">
        <f t="shared" si="0"/>
        <v>39629.5</v>
      </c>
      <c r="M37" s="12"/>
      <c r="N37" s="12"/>
    </row>
    <row r="38" spans="1:14" ht="40.5" customHeight="1">
      <c r="A38" s="66"/>
      <c r="B38" s="66"/>
      <c r="C38" s="1" t="s">
        <v>42</v>
      </c>
      <c r="D38" s="1" t="s">
        <v>7</v>
      </c>
      <c r="E38" s="2">
        <f>296614.6-8058.4-184.1-11-12.2-12.2+202.9+570.3+20075.7+48.4-105.5-14112.4-48.4+696.5-97.3+776.5+933.3-240.2-0.3+3000-0.8-42.3+6924.6+2042-32.3-4.9-7.5-97.6-1706.6</f>
        <v>307110.8</v>
      </c>
      <c r="F38" s="2">
        <f>293800.4+86-66.8-1920.7-54.1+86-1458-36-644.5-217+43-1419.2-35.3-23.9+54.1+337.2+12.8-793.8-0.7+33.4-25.3-157.8+197.8+78.8+428.7+20.1+8182.6+397.4+14.1+276.2</f>
        <v>297195.5</v>
      </c>
      <c r="G38" s="41">
        <f>289681.5-91.1-107.4-25.2-4704.5-734.3+1040.3-427.3-640.5-399.8-1413.8+804.1+89.1+1.8+715.4+160+189.5+230.7+13192.42853+726.21652</f>
        <v>298287.14505</v>
      </c>
      <c r="H38" s="2">
        <f>282687.5-109.3-117.2</f>
        <v>282461</v>
      </c>
      <c r="I38" s="2">
        <f>281883.4-109.3-117.2</f>
        <v>281656.9</v>
      </c>
      <c r="J38" s="2">
        <v>281270.5</v>
      </c>
      <c r="K38" s="40">
        <f t="shared" si="0"/>
        <v>1747981.8450500001</v>
      </c>
      <c r="M38" s="12"/>
      <c r="N38" s="12"/>
    </row>
    <row r="39" spans="1:14" ht="27.75" customHeight="1">
      <c r="A39" s="66"/>
      <c r="B39" s="66"/>
      <c r="C39" s="1" t="s">
        <v>29</v>
      </c>
      <c r="D39" s="1" t="s">
        <v>7</v>
      </c>
      <c r="E39" s="2">
        <f>255875-1278.5-68.6-13718+12.2-629.1+1120.2-1005.2-15.8+240.5+556.3+4.9-40.4-143.1-117.2</f>
        <v>240793.19999999998</v>
      </c>
      <c r="F39" s="2">
        <f>239832.6-156-497.1-18.9-5-272.2-216.6+25.3+355.6+728.4+822.7+2286.1+15983.3</f>
        <v>258868.19999999998</v>
      </c>
      <c r="G39" s="41">
        <f>260416.2+91.1-687.4+5.3+1003.2-267.2+159.5+504+8932.8+681.93318+276.6442</f>
        <v>271116.07738</v>
      </c>
      <c r="H39" s="2">
        <f>267793.7+109.3</f>
        <v>267903</v>
      </c>
      <c r="I39" s="2">
        <f>267694.7+109.3</f>
        <v>267804</v>
      </c>
      <c r="J39" s="2">
        <v>320413.4</v>
      </c>
      <c r="K39" s="40">
        <f t="shared" si="0"/>
        <v>1626897.87738</v>
      </c>
      <c r="M39" s="12"/>
      <c r="N39" s="12"/>
    </row>
    <row r="40" spans="1:14" ht="39" customHeight="1">
      <c r="A40" s="66"/>
      <c r="B40" s="66"/>
      <c r="C40" s="27" t="s">
        <v>55</v>
      </c>
      <c r="D40" s="1" t="s">
        <v>7</v>
      </c>
      <c r="E40" s="2">
        <f>7265-250.2</f>
        <v>7014.8</v>
      </c>
      <c r="F40" s="2">
        <f>7014.8-133.8</f>
        <v>6881</v>
      </c>
      <c r="G40" s="41">
        <f>7431.2-1.1+30-30+4.6+18.9+10+30.4558</f>
        <v>7494.055799999999</v>
      </c>
      <c r="H40" s="2">
        <v>14552.9</v>
      </c>
      <c r="I40" s="2">
        <v>14498.2</v>
      </c>
      <c r="J40" s="2">
        <v>7265</v>
      </c>
      <c r="K40" s="40">
        <f t="shared" si="0"/>
        <v>57705.955799999996</v>
      </c>
      <c r="M40" s="12"/>
      <c r="N40" s="12"/>
    </row>
    <row r="41" spans="1:14" ht="30.75" customHeight="1">
      <c r="A41" s="66"/>
      <c r="B41" s="66"/>
      <c r="C41" s="1" t="s">
        <v>48</v>
      </c>
      <c r="D41" s="1" t="s">
        <v>7</v>
      </c>
      <c r="E41" s="2">
        <f>64757.2-5627.3-212.3-615</f>
        <v>58302.59999999999</v>
      </c>
      <c r="F41" s="2">
        <f>82529.4-805.2-2270.3-156.9-341.9-6431-300.4</f>
        <v>72223.70000000001</v>
      </c>
      <c r="G41" s="2">
        <f>80244.1-582.2-6579.7-850.7</f>
        <v>72231.50000000001</v>
      </c>
      <c r="H41" s="2">
        <v>80244.1</v>
      </c>
      <c r="I41" s="2">
        <v>80244.1</v>
      </c>
      <c r="J41" s="2">
        <v>66805.5</v>
      </c>
      <c r="K41" s="40">
        <f t="shared" si="0"/>
        <v>430051.5</v>
      </c>
      <c r="M41" s="12"/>
      <c r="N41" s="12"/>
    </row>
    <row r="42" spans="1:14" ht="32.25" customHeight="1">
      <c r="A42" s="66"/>
      <c r="B42" s="66"/>
      <c r="C42" s="1" t="s">
        <v>30</v>
      </c>
      <c r="D42" s="1" t="s">
        <v>7</v>
      </c>
      <c r="E42" s="2">
        <f>57486.6-107.4-116.4-3894.9-5658.6-6124.9+171.4-933.3-1430.8</f>
        <v>39391.69999999999</v>
      </c>
      <c r="F42" s="2">
        <f>54815.6-1687.1-36.1-834.6-1193.6+25.9-276.2-791.6</f>
        <v>50022.30000000001</v>
      </c>
      <c r="G42" s="2">
        <f>53685.5+850.7</f>
        <v>54536.2</v>
      </c>
      <c r="H42" s="2">
        <v>53685.5</v>
      </c>
      <c r="I42" s="2">
        <v>53685.5</v>
      </c>
      <c r="J42" s="2">
        <v>57486.6</v>
      </c>
      <c r="K42" s="40">
        <f t="shared" si="0"/>
        <v>308807.8</v>
      </c>
      <c r="M42" s="12"/>
      <c r="N42" s="12"/>
    </row>
    <row r="43" spans="1:14" ht="17.25" customHeight="1">
      <c r="A43" s="66"/>
      <c r="B43" s="66"/>
      <c r="C43" s="52" t="s">
        <v>51</v>
      </c>
      <c r="D43" s="1" t="s">
        <v>7</v>
      </c>
      <c r="E43" s="2">
        <f>5766.8+1216.1</f>
        <v>6982.9</v>
      </c>
      <c r="F43" s="2">
        <f>7088.4-14</f>
        <v>7074.4</v>
      </c>
      <c r="G43" s="2">
        <f>6657-183</f>
        <v>6474</v>
      </c>
      <c r="H43" s="2">
        <v>6657</v>
      </c>
      <c r="I43" s="2">
        <v>6657</v>
      </c>
      <c r="J43" s="2">
        <v>5766.8</v>
      </c>
      <c r="K43" s="40">
        <f t="shared" si="0"/>
        <v>39612.100000000006</v>
      </c>
      <c r="M43" s="12"/>
      <c r="N43" s="12"/>
    </row>
    <row r="44" spans="1:14" ht="28.5" customHeight="1">
      <c r="A44" s="66"/>
      <c r="B44" s="66"/>
      <c r="C44" s="53"/>
      <c r="D44" s="1" t="s">
        <v>17</v>
      </c>
      <c r="E44" s="2">
        <v>10242.2</v>
      </c>
      <c r="F44" s="2">
        <v>10529.3</v>
      </c>
      <c r="G44" s="2">
        <v>9774.8</v>
      </c>
      <c r="H44" s="2">
        <v>0</v>
      </c>
      <c r="I44" s="2">
        <v>0</v>
      </c>
      <c r="J44" s="2">
        <v>0</v>
      </c>
      <c r="K44" s="40">
        <f t="shared" si="0"/>
        <v>30546.3</v>
      </c>
      <c r="M44" s="12"/>
      <c r="N44" s="12"/>
    </row>
    <row r="45" spans="1:14" ht="76.5">
      <c r="A45" s="66"/>
      <c r="B45" s="66"/>
      <c r="C45" s="1" t="s">
        <v>56</v>
      </c>
      <c r="D45" s="1" t="s">
        <v>7</v>
      </c>
      <c r="E45" s="2">
        <f>53754-22715.5+4665.3+200.3-878.9-2684.5</f>
        <v>32340.700000000004</v>
      </c>
      <c r="F45" s="2">
        <f>41133.5-6500-8797.2-7499.7+79.2+1029.5-546.1</f>
        <v>18899.2</v>
      </c>
      <c r="G45" s="41">
        <f>20112.9+8334.4+33-1406.5+64.55614+736-1369.7-1015.1-523.01552-629.2-233.737</f>
        <v>24103.60362</v>
      </c>
      <c r="H45" s="2">
        <v>9168.3</v>
      </c>
      <c r="I45" s="2">
        <v>9168.3</v>
      </c>
      <c r="J45" s="2">
        <v>47149.3</v>
      </c>
      <c r="K45" s="40">
        <f t="shared" si="0"/>
        <v>140829.40362</v>
      </c>
      <c r="M45" s="12"/>
      <c r="N45" s="12"/>
    </row>
    <row r="46" spans="1:14" ht="27" customHeight="1">
      <c r="A46" s="66"/>
      <c r="B46" s="66"/>
      <c r="C46" s="52" t="s">
        <v>57</v>
      </c>
      <c r="D46" s="1" t="s">
        <v>7</v>
      </c>
      <c r="E46" s="2">
        <f>66975.1-4729-1572.5-1238.5-1651.7+3235.2-3038.9+882.4-3513-2596.7+127.3+918.3+200+1232.7+1103.4+200.4-361.2</f>
        <v>56173.30000000002</v>
      </c>
      <c r="F46" s="17">
        <f>31866.5+1870.68-900+6500-82-564.2+391.7-99.9+1000+5565.1+112.7+452.4-862.9-314.1</f>
        <v>44935.979999999996</v>
      </c>
      <c r="G46" s="41">
        <f>73304.7+13845.4+26.4+1069.5-1497.9-64.55614-415.6+1040.3+30+505.2-731.705-246.96922-0.01526-500-136.1-17.9-43.363-30</f>
        <v>86137.39137999999</v>
      </c>
      <c r="H46" s="2">
        <v>19345.5</v>
      </c>
      <c r="I46" s="2">
        <v>19345.5</v>
      </c>
      <c r="J46" s="2">
        <v>81004.9</v>
      </c>
      <c r="K46" s="40">
        <f t="shared" si="0"/>
        <v>306942.57138</v>
      </c>
      <c r="M46" s="12"/>
      <c r="N46" s="12"/>
    </row>
    <row r="47" spans="1:14" ht="39" customHeight="1">
      <c r="A47" s="66"/>
      <c r="B47" s="66"/>
      <c r="C47" s="53"/>
      <c r="D47" s="1" t="s">
        <v>17</v>
      </c>
      <c r="E47" s="2"/>
      <c r="F47" s="17"/>
      <c r="G47" s="41">
        <f>3831.331+18142.3-150.631-0.0356</f>
        <v>21822.9644</v>
      </c>
      <c r="H47" s="2"/>
      <c r="I47" s="2"/>
      <c r="J47" s="2"/>
      <c r="K47" s="40">
        <f t="shared" si="0"/>
        <v>21822.9644</v>
      </c>
      <c r="M47" s="12"/>
      <c r="N47" s="12"/>
    </row>
    <row r="48" spans="1:14" ht="76.5">
      <c r="A48" s="66"/>
      <c r="B48" s="66"/>
      <c r="C48" s="1" t="s">
        <v>43</v>
      </c>
      <c r="D48" s="1" t="s">
        <v>7</v>
      </c>
      <c r="E48" s="2">
        <f>120758.8-275.1-15+43-208.7-43-11</f>
        <v>120249</v>
      </c>
      <c r="F48" s="2">
        <v>0</v>
      </c>
      <c r="G48" s="2">
        <f>120758.8-120758.8</f>
        <v>0</v>
      </c>
      <c r="H48" s="2">
        <f>120758.8-120758.8</f>
        <v>0</v>
      </c>
      <c r="I48" s="2">
        <f>120758.8-120758.8</f>
        <v>0</v>
      </c>
      <c r="J48" s="2">
        <f>120758.8-120758.8</f>
        <v>0</v>
      </c>
      <c r="K48" s="40">
        <f t="shared" si="0"/>
        <v>120249</v>
      </c>
      <c r="N48" s="12"/>
    </row>
    <row r="49" spans="1:14" ht="80.25" customHeight="1">
      <c r="A49" s="66"/>
      <c r="B49" s="66"/>
      <c r="C49" s="1" t="s">
        <v>68</v>
      </c>
      <c r="D49" s="1" t="s">
        <v>7</v>
      </c>
      <c r="E49" s="2">
        <f>5999.3-14-127.2-37.9</f>
        <v>5820.200000000001</v>
      </c>
      <c r="F49" s="2">
        <f>126612.5-66-20+2238-66-20-485.5-33-10-255.8-77.3-316.2-41.6-12.5-31-9.3-151.9-45.9+60+18.1+1385.2+418.3-280</f>
        <v>128810.1</v>
      </c>
      <c r="G49" s="2">
        <f>135079.5+107.4+647.4+195.5-36.9-0.6+1657+433.794+131.006-110.5-708.2+23+7</f>
        <v>137425.39999999997</v>
      </c>
      <c r="H49" s="2">
        <f>130846.5+117.2</f>
        <v>130963.7</v>
      </c>
      <c r="I49" s="2">
        <f>130793+117.2</f>
        <v>130910.2</v>
      </c>
      <c r="J49" s="2">
        <f>5999.3+120758.8</f>
        <v>126758.1</v>
      </c>
      <c r="K49" s="40">
        <f t="shared" si="0"/>
        <v>660687.7</v>
      </c>
      <c r="N49" s="12"/>
    </row>
    <row r="50" spans="1:14" ht="90.75" customHeight="1">
      <c r="A50" s="66"/>
      <c r="B50" s="66"/>
      <c r="C50" s="1" t="s">
        <v>58</v>
      </c>
      <c r="D50" s="1" t="s">
        <v>17</v>
      </c>
      <c r="E50" s="2">
        <f>98953.8+3613.9-6916-1081.8</f>
        <v>94569.9</v>
      </c>
      <c r="F50" s="2">
        <f>113018.5-0.6</f>
        <v>113017.9</v>
      </c>
      <c r="G50" s="2">
        <f>121331.9-2379.2-890</f>
        <v>118062.7</v>
      </c>
      <c r="H50" s="2">
        <v>131875.5</v>
      </c>
      <c r="I50" s="2">
        <v>133290.6</v>
      </c>
      <c r="J50" s="2">
        <v>102767.7</v>
      </c>
      <c r="K50" s="40">
        <f t="shared" si="0"/>
        <v>693584.2999999999</v>
      </c>
      <c r="N50" s="12"/>
    </row>
    <row r="51" spans="1:14" ht="141.75" customHeight="1" hidden="1">
      <c r="A51" s="66"/>
      <c r="B51" s="66"/>
      <c r="C51" s="1" t="s">
        <v>44</v>
      </c>
      <c r="D51" s="1" t="s">
        <v>17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40">
        <f t="shared" si="0"/>
        <v>0</v>
      </c>
      <c r="N51" s="12"/>
    </row>
    <row r="52" spans="1:14" ht="64.5" customHeight="1">
      <c r="A52" s="66"/>
      <c r="B52" s="66"/>
      <c r="C52" s="1" t="s">
        <v>59</v>
      </c>
      <c r="D52" s="1" t="s">
        <v>17</v>
      </c>
      <c r="E52" s="17">
        <v>65357.8</v>
      </c>
      <c r="F52" s="2">
        <f>88310.9-6828-5250.9-2232</f>
        <v>74000</v>
      </c>
      <c r="G52" s="2">
        <f>73356.7-12537.5+5590</f>
        <v>66409.2</v>
      </c>
      <c r="H52" s="2">
        <v>74156.6</v>
      </c>
      <c r="I52" s="2">
        <v>74879.4</v>
      </c>
      <c r="J52" s="2">
        <v>58764.9</v>
      </c>
      <c r="K52" s="40">
        <f t="shared" si="0"/>
        <v>413567.9</v>
      </c>
      <c r="N52" s="12"/>
    </row>
    <row r="53" spans="1:14" ht="43.5" customHeight="1">
      <c r="A53" s="66"/>
      <c r="B53" s="66"/>
      <c r="C53" s="1" t="s">
        <v>60</v>
      </c>
      <c r="D53" s="1" t="s">
        <v>7</v>
      </c>
      <c r="E53" s="2">
        <f>845.6+250</f>
        <v>1095.6</v>
      </c>
      <c r="F53" s="2">
        <v>803.3</v>
      </c>
      <c r="G53" s="2">
        <f>743.6+196.5+146.4-20</f>
        <v>1066.5</v>
      </c>
      <c r="H53" s="2">
        <v>751.9</v>
      </c>
      <c r="I53" s="2">
        <v>735.4</v>
      </c>
      <c r="J53" s="2">
        <v>845.6</v>
      </c>
      <c r="K53" s="40">
        <f t="shared" si="0"/>
        <v>5298.3</v>
      </c>
      <c r="N53" s="12"/>
    </row>
    <row r="54" spans="1:14" ht="51">
      <c r="A54" s="66"/>
      <c r="B54" s="66"/>
      <c r="C54" s="1" t="s">
        <v>61</v>
      </c>
      <c r="D54" s="1" t="s">
        <v>7</v>
      </c>
      <c r="E54" s="2">
        <v>304.4</v>
      </c>
      <c r="F54" s="2">
        <f>289.2-5</f>
        <v>284.2</v>
      </c>
      <c r="G54" s="2">
        <v>235.1</v>
      </c>
      <c r="H54" s="2">
        <v>237.7</v>
      </c>
      <c r="I54" s="2">
        <v>232.5</v>
      </c>
      <c r="J54" s="2">
        <v>304.4</v>
      </c>
      <c r="K54" s="40">
        <f t="shared" si="0"/>
        <v>1598.2999999999997</v>
      </c>
      <c r="N54" s="12"/>
    </row>
    <row r="55" spans="1:14" ht="54.75" customHeight="1">
      <c r="A55" s="66"/>
      <c r="B55" s="66"/>
      <c r="C55" s="1" t="s">
        <v>62</v>
      </c>
      <c r="D55" s="1" t="s">
        <v>7</v>
      </c>
      <c r="E55" s="2">
        <f>21429.4+61.4</f>
        <v>21490.800000000003</v>
      </c>
      <c r="F55" s="34">
        <f>13509.2+3910-400-480+865.347</f>
        <v>17404.547000000002</v>
      </c>
      <c r="G55" s="2">
        <f>26255.2-1000+61</f>
        <v>25316.2</v>
      </c>
      <c r="H55" s="2">
        <v>0</v>
      </c>
      <c r="I55" s="2">
        <v>0</v>
      </c>
      <c r="J55" s="2">
        <v>0</v>
      </c>
      <c r="K55" s="40">
        <f t="shared" si="0"/>
        <v>64211.547000000006</v>
      </c>
      <c r="N55" s="12"/>
    </row>
    <row r="56" spans="1:14" ht="106.5" customHeight="1">
      <c r="A56" s="66"/>
      <c r="B56" s="66"/>
      <c r="C56" s="1" t="s">
        <v>65</v>
      </c>
      <c r="D56" s="1" t="s">
        <v>17</v>
      </c>
      <c r="E56" s="2">
        <f>10000.6+91.3</f>
        <v>10091.9</v>
      </c>
      <c r="F56" s="2">
        <f>10000.6+2372.3+62.4+76.9</f>
        <v>12512.2</v>
      </c>
      <c r="G56" s="2">
        <f>15180.1-307.4+625-4163.7+108</f>
        <v>11442</v>
      </c>
      <c r="H56" s="2">
        <v>17560</v>
      </c>
      <c r="I56" s="2">
        <v>20293</v>
      </c>
      <c r="J56" s="2">
        <v>0</v>
      </c>
      <c r="K56" s="40">
        <f t="shared" si="0"/>
        <v>71899.1</v>
      </c>
      <c r="N56" s="12"/>
    </row>
    <row r="57" spans="1:14" ht="54.75" customHeight="1">
      <c r="A57" s="66"/>
      <c r="B57" s="66"/>
      <c r="C57" s="52" t="s">
        <v>71</v>
      </c>
      <c r="D57" s="1" t="s">
        <v>17</v>
      </c>
      <c r="E57" s="2">
        <v>0</v>
      </c>
      <c r="F57" s="2">
        <v>1458.6</v>
      </c>
      <c r="G57" s="2">
        <v>0</v>
      </c>
      <c r="H57" s="2">
        <v>0</v>
      </c>
      <c r="I57" s="2">
        <v>0</v>
      </c>
      <c r="J57" s="2">
        <v>0</v>
      </c>
      <c r="K57" s="40">
        <f t="shared" si="0"/>
        <v>1458.6</v>
      </c>
      <c r="N57" s="12"/>
    </row>
    <row r="58" spans="1:14" ht="24.75" customHeight="1">
      <c r="A58" s="66"/>
      <c r="B58" s="66"/>
      <c r="C58" s="53"/>
      <c r="D58" s="1" t="s">
        <v>72</v>
      </c>
      <c r="E58" s="2">
        <v>0</v>
      </c>
      <c r="F58" s="2">
        <v>3403.3</v>
      </c>
      <c r="G58" s="2">
        <v>0</v>
      </c>
      <c r="H58" s="2">
        <v>0</v>
      </c>
      <c r="I58" s="2">
        <v>0</v>
      </c>
      <c r="J58" s="2">
        <v>0</v>
      </c>
      <c r="K58" s="40">
        <f t="shared" si="0"/>
        <v>3403.3</v>
      </c>
      <c r="N58" s="12"/>
    </row>
    <row r="59" spans="1:14" ht="25.5" hidden="1">
      <c r="A59" s="66"/>
      <c r="B59" s="66"/>
      <c r="C59" s="45" t="s">
        <v>76</v>
      </c>
      <c r="D59" s="1" t="s">
        <v>7</v>
      </c>
      <c r="E59" s="2"/>
      <c r="F59" s="2"/>
      <c r="G59" s="2"/>
      <c r="H59" s="2"/>
      <c r="I59" s="2"/>
      <c r="J59" s="2"/>
      <c r="K59" s="40"/>
      <c r="N59" s="12"/>
    </row>
    <row r="60" spans="1:14" ht="15">
      <c r="A60" s="66"/>
      <c r="B60" s="66"/>
      <c r="C60" s="51" t="s">
        <v>50</v>
      </c>
      <c r="D60" s="51"/>
      <c r="E60" s="51"/>
      <c r="F60" s="51"/>
      <c r="G60" s="51"/>
      <c r="H60" s="51"/>
      <c r="I60" s="51"/>
      <c r="J60" s="51"/>
      <c r="K60" s="40">
        <f t="shared" si="0"/>
        <v>0</v>
      </c>
      <c r="N60" s="12"/>
    </row>
    <row r="61" spans="1:14" ht="15">
      <c r="A61" s="66"/>
      <c r="B61" s="66"/>
      <c r="C61" s="49" t="s">
        <v>19</v>
      </c>
      <c r="D61" s="28" t="s">
        <v>7</v>
      </c>
      <c r="E61" s="20">
        <f>E64</f>
        <v>828.06</v>
      </c>
      <c r="F61" s="20">
        <f aca="true" t="shared" si="7" ref="E61:J62">F64</f>
        <v>837.4</v>
      </c>
      <c r="G61" s="20">
        <f t="shared" si="7"/>
        <v>827.4</v>
      </c>
      <c r="H61" s="20">
        <f t="shared" si="7"/>
        <v>837.4</v>
      </c>
      <c r="I61" s="20">
        <f t="shared" si="7"/>
        <v>837.4</v>
      </c>
      <c r="J61" s="20">
        <f t="shared" si="7"/>
        <v>0</v>
      </c>
      <c r="K61" s="40">
        <f t="shared" si="0"/>
        <v>4167.66</v>
      </c>
      <c r="N61" s="12"/>
    </row>
    <row r="62" spans="1:14" ht="38.25">
      <c r="A62" s="66"/>
      <c r="B62" s="66"/>
      <c r="C62" s="50"/>
      <c r="D62" s="29" t="s">
        <v>8</v>
      </c>
      <c r="E62" s="21">
        <f t="shared" si="7"/>
        <v>7038.46</v>
      </c>
      <c r="F62" s="21">
        <f t="shared" si="7"/>
        <v>7537.3</v>
      </c>
      <c r="G62" s="21">
        <f t="shared" si="7"/>
        <v>8687.5</v>
      </c>
      <c r="H62" s="21">
        <f t="shared" si="7"/>
        <v>0</v>
      </c>
      <c r="I62" s="21">
        <f t="shared" si="7"/>
        <v>0</v>
      </c>
      <c r="J62" s="21">
        <f t="shared" si="7"/>
        <v>0</v>
      </c>
      <c r="K62" s="40">
        <f t="shared" si="0"/>
        <v>23263.260000000002</v>
      </c>
      <c r="N62" s="12"/>
    </row>
    <row r="63" spans="1:14" ht="15">
      <c r="A63" s="66"/>
      <c r="B63" s="66"/>
      <c r="C63" s="46" t="s">
        <v>36</v>
      </c>
      <c r="D63" s="47"/>
      <c r="E63" s="47"/>
      <c r="F63" s="47"/>
      <c r="G63" s="47"/>
      <c r="H63" s="47"/>
      <c r="I63" s="47"/>
      <c r="J63" s="48"/>
      <c r="K63" s="40">
        <f t="shared" si="0"/>
        <v>0</v>
      </c>
      <c r="N63" s="12"/>
    </row>
    <row r="64" spans="1:14" ht="20.25" customHeight="1">
      <c r="A64" s="66"/>
      <c r="B64" s="66"/>
      <c r="C64" s="52" t="s">
        <v>55</v>
      </c>
      <c r="D64" s="1" t="s">
        <v>7</v>
      </c>
      <c r="E64" s="17">
        <v>828.06</v>
      </c>
      <c r="F64" s="17">
        <f>828.06+9.34</f>
        <v>837.4</v>
      </c>
      <c r="G64" s="2">
        <f>837.4-10</f>
        <v>827.4</v>
      </c>
      <c r="H64" s="2">
        <v>837.4</v>
      </c>
      <c r="I64" s="2">
        <v>837.4</v>
      </c>
      <c r="J64" s="2">
        <v>0</v>
      </c>
      <c r="K64" s="40">
        <f t="shared" si="0"/>
        <v>4167.66</v>
      </c>
      <c r="N64" s="12"/>
    </row>
    <row r="65" spans="1:14" ht="25.5">
      <c r="A65" s="66"/>
      <c r="B65" s="66"/>
      <c r="C65" s="53"/>
      <c r="D65" s="1" t="s">
        <v>17</v>
      </c>
      <c r="E65" s="17">
        <v>7038.46</v>
      </c>
      <c r="F65" s="17">
        <v>7537.3</v>
      </c>
      <c r="G65" s="2">
        <v>8687.5</v>
      </c>
      <c r="H65" s="2">
        <v>0</v>
      </c>
      <c r="I65" s="2">
        <v>0</v>
      </c>
      <c r="J65" s="2">
        <v>0</v>
      </c>
      <c r="K65" s="40">
        <f t="shared" si="0"/>
        <v>23263.260000000002</v>
      </c>
      <c r="N65" s="12"/>
    </row>
    <row r="66" spans="1:14" ht="15">
      <c r="A66" s="66"/>
      <c r="B66" s="66"/>
      <c r="C66" s="51" t="s">
        <v>52</v>
      </c>
      <c r="D66" s="51"/>
      <c r="E66" s="51"/>
      <c r="F66" s="51"/>
      <c r="G66" s="51"/>
      <c r="H66" s="51"/>
      <c r="I66" s="51"/>
      <c r="J66" s="51"/>
      <c r="K66" s="40">
        <f t="shared" si="0"/>
        <v>0</v>
      </c>
      <c r="N66" s="12"/>
    </row>
    <row r="67" spans="1:14" ht="15">
      <c r="A67" s="66"/>
      <c r="B67" s="66"/>
      <c r="C67" s="49" t="s">
        <v>19</v>
      </c>
      <c r="D67" s="28" t="s">
        <v>7</v>
      </c>
      <c r="E67" s="20">
        <f aca="true" t="shared" si="8" ref="E67:J68">E70</f>
        <v>616.72</v>
      </c>
      <c r="F67" s="20">
        <f t="shared" si="8"/>
        <v>611.6</v>
      </c>
      <c r="G67" s="20">
        <f>G70</f>
        <v>587.4</v>
      </c>
      <c r="H67" s="20">
        <f t="shared" si="8"/>
        <v>611.6</v>
      </c>
      <c r="I67" s="20">
        <f t="shared" si="8"/>
        <v>611.6</v>
      </c>
      <c r="J67" s="20">
        <f t="shared" si="8"/>
        <v>0</v>
      </c>
      <c r="K67" s="40">
        <f t="shared" si="0"/>
        <v>3038.92</v>
      </c>
      <c r="N67" s="12"/>
    </row>
    <row r="68" spans="1:14" ht="38.25">
      <c r="A68" s="66"/>
      <c r="B68" s="66"/>
      <c r="C68" s="50"/>
      <c r="D68" s="29" t="s">
        <v>8</v>
      </c>
      <c r="E68" s="21">
        <f t="shared" si="8"/>
        <v>5242.12</v>
      </c>
      <c r="F68" s="21">
        <f t="shared" si="8"/>
        <v>5503.9</v>
      </c>
      <c r="G68" s="21">
        <f t="shared" si="8"/>
        <v>6167</v>
      </c>
      <c r="H68" s="21">
        <f t="shared" si="8"/>
        <v>0</v>
      </c>
      <c r="I68" s="21">
        <f t="shared" si="8"/>
        <v>0</v>
      </c>
      <c r="J68" s="21">
        <f t="shared" si="8"/>
        <v>0</v>
      </c>
      <c r="K68" s="40">
        <f t="shared" si="0"/>
        <v>16913.02</v>
      </c>
      <c r="N68" s="12"/>
    </row>
    <row r="69" spans="1:14" ht="15">
      <c r="A69" s="66"/>
      <c r="B69" s="66"/>
      <c r="C69" s="46" t="s">
        <v>36</v>
      </c>
      <c r="D69" s="47"/>
      <c r="E69" s="47"/>
      <c r="F69" s="47"/>
      <c r="G69" s="47"/>
      <c r="H69" s="47"/>
      <c r="I69" s="47"/>
      <c r="J69" s="48"/>
      <c r="K69" s="40">
        <f t="shared" si="0"/>
        <v>0</v>
      </c>
      <c r="N69" s="12"/>
    </row>
    <row r="70" spans="1:14" ht="15">
      <c r="A70" s="66"/>
      <c r="B70" s="66"/>
      <c r="C70" s="52" t="s">
        <v>55</v>
      </c>
      <c r="D70" s="1" t="s">
        <v>7</v>
      </c>
      <c r="E70" s="17">
        <v>616.72</v>
      </c>
      <c r="F70" s="17">
        <f>616.72-5.12</f>
        <v>611.6</v>
      </c>
      <c r="G70" s="2">
        <f>611.6-24.2</f>
        <v>587.4</v>
      </c>
      <c r="H70" s="2">
        <v>611.6</v>
      </c>
      <c r="I70" s="2">
        <v>611.6</v>
      </c>
      <c r="J70" s="2">
        <v>0</v>
      </c>
      <c r="K70" s="40">
        <f t="shared" si="0"/>
        <v>3038.92</v>
      </c>
      <c r="N70" s="12"/>
    </row>
    <row r="71" spans="1:14" ht="25.5">
      <c r="A71" s="66"/>
      <c r="B71" s="66"/>
      <c r="C71" s="53"/>
      <c r="D71" s="1" t="s">
        <v>17</v>
      </c>
      <c r="E71" s="17">
        <v>5242.12</v>
      </c>
      <c r="F71" s="17">
        <v>5503.9</v>
      </c>
      <c r="G71" s="2">
        <v>6167</v>
      </c>
      <c r="H71" s="2">
        <v>0</v>
      </c>
      <c r="I71" s="2">
        <v>0</v>
      </c>
      <c r="J71" s="2">
        <v>0</v>
      </c>
      <c r="K71" s="40">
        <f t="shared" si="0"/>
        <v>16913.02</v>
      </c>
      <c r="N71" s="12"/>
    </row>
    <row r="72" spans="1:14" ht="15">
      <c r="A72" s="66"/>
      <c r="B72" s="66"/>
      <c r="C72" s="51" t="s">
        <v>53</v>
      </c>
      <c r="D72" s="51"/>
      <c r="E72" s="51"/>
      <c r="F72" s="51"/>
      <c r="G72" s="51"/>
      <c r="H72" s="51"/>
      <c r="I72" s="51"/>
      <c r="J72" s="51"/>
      <c r="K72" s="40">
        <f t="shared" si="0"/>
        <v>0</v>
      </c>
      <c r="N72" s="12"/>
    </row>
    <row r="73" spans="1:14" ht="15">
      <c r="A73" s="66"/>
      <c r="B73" s="66"/>
      <c r="C73" s="49" t="s">
        <v>19</v>
      </c>
      <c r="D73" s="28" t="s">
        <v>7</v>
      </c>
      <c r="E73" s="20">
        <f aca="true" t="shared" si="9" ref="E73:J74">E75</f>
        <v>1292.72</v>
      </c>
      <c r="F73" s="20">
        <f t="shared" si="9"/>
        <v>1297.7</v>
      </c>
      <c r="G73" s="20">
        <f t="shared" si="9"/>
        <v>1273.5</v>
      </c>
      <c r="H73" s="20">
        <f t="shared" si="9"/>
        <v>1297.7</v>
      </c>
      <c r="I73" s="20">
        <f t="shared" si="9"/>
        <v>1297.7</v>
      </c>
      <c r="J73" s="20">
        <f t="shared" si="9"/>
        <v>0</v>
      </c>
      <c r="K73" s="40">
        <f t="shared" si="0"/>
        <v>6459.32</v>
      </c>
      <c r="N73" s="12"/>
    </row>
    <row r="74" spans="1:14" ht="38.25">
      <c r="A74" s="66"/>
      <c r="B74" s="66"/>
      <c r="C74" s="50"/>
      <c r="D74" s="29" t="s">
        <v>8</v>
      </c>
      <c r="E74" s="21">
        <f t="shared" si="9"/>
        <v>10988.12</v>
      </c>
      <c r="F74" s="21">
        <f t="shared" si="9"/>
        <v>11679.3</v>
      </c>
      <c r="G74" s="21">
        <f t="shared" si="9"/>
        <v>13371.4</v>
      </c>
      <c r="H74" s="21">
        <f t="shared" si="9"/>
        <v>0</v>
      </c>
      <c r="I74" s="21">
        <f t="shared" si="9"/>
        <v>0</v>
      </c>
      <c r="J74" s="21">
        <f t="shared" si="9"/>
        <v>0</v>
      </c>
      <c r="K74" s="40">
        <f t="shared" si="0"/>
        <v>36038.82</v>
      </c>
      <c r="N74" s="12"/>
    </row>
    <row r="75" spans="1:14" ht="15">
      <c r="A75" s="66"/>
      <c r="B75" s="66"/>
      <c r="C75" s="52" t="s">
        <v>55</v>
      </c>
      <c r="D75" s="1" t="s">
        <v>7</v>
      </c>
      <c r="E75" s="17">
        <v>1292.72</v>
      </c>
      <c r="F75" s="17">
        <f>1292.72+4.98</f>
        <v>1297.7</v>
      </c>
      <c r="G75" s="2">
        <f>1297.7-24.2</f>
        <v>1273.5</v>
      </c>
      <c r="H75" s="2">
        <v>1297.7</v>
      </c>
      <c r="I75" s="2">
        <v>1297.7</v>
      </c>
      <c r="J75" s="2">
        <v>0</v>
      </c>
      <c r="K75" s="40">
        <f t="shared" si="0"/>
        <v>6459.32</v>
      </c>
      <c r="N75" s="12"/>
    </row>
    <row r="76" spans="1:14" ht="25.5">
      <c r="A76" s="66"/>
      <c r="B76" s="66"/>
      <c r="C76" s="53"/>
      <c r="D76" s="1" t="s">
        <v>17</v>
      </c>
      <c r="E76" s="17">
        <v>10988.12</v>
      </c>
      <c r="F76" s="17">
        <v>11679.3</v>
      </c>
      <c r="G76" s="2">
        <v>13371.4</v>
      </c>
      <c r="H76" s="2">
        <v>0</v>
      </c>
      <c r="I76" s="2">
        <v>0</v>
      </c>
      <c r="J76" s="2">
        <v>0</v>
      </c>
      <c r="K76" s="40">
        <f t="shared" si="0"/>
        <v>36038.82</v>
      </c>
      <c r="N76" s="12"/>
    </row>
    <row r="77" spans="1:14" ht="15" customHeight="1">
      <c r="A77" s="66"/>
      <c r="B77" s="66"/>
      <c r="C77" s="55" t="s">
        <v>54</v>
      </c>
      <c r="D77" s="56"/>
      <c r="E77" s="56"/>
      <c r="F77" s="56"/>
      <c r="G77" s="56"/>
      <c r="H77" s="56"/>
      <c r="I77" s="56"/>
      <c r="J77" s="57"/>
      <c r="K77" s="40">
        <f t="shared" si="0"/>
        <v>0</v>
      </c>
      <c r="N77" s="12"/>
    </row>
    <row r="78" spans="1:14" ht="15">
      <c r="A78" s="66"/>
      <c r="B78" s="66"/>
      <c r="C78" s="49" t="s">
        <v>19</v>
      </c>
      <c r="D78" s="28" t="s">
        <v>7</v>
      </c>
      <c r="E78" s="20">
        <f aca="true" t="shared" si="10" ref="E78:J79">E81</f>
        <v>936</v>
      </c>
      <c r="F78" s="20">
        <f t="shared" si="10"/>
        <v>940.1</v>
      </c>
      <c r="G78" s="20">
        <f t="shared" si="10"/>
        <v>939.6</v>
      </c>
      <c r="H78" s="20">
        <f t="shared" si="10"/>
        <v>940.1</v>
      </c>
      <c r="I78" s="20">
        <f t="shared" si="10"/>
        <v>940.1</v>
      </c>
      <c r="J78" s="20">
        <f t="shared" si="10"/>
        <v>0</v>
      </c>
      <c r="K78" s="40">
        <f t="shared" si="0"/>
        <v>4695.9</v>
      </c>
      <c r="N78" s="12"/>
    </row>
    <row r="79" spans="1:14" ht="38.25">
      <c r="A79" s="66"/>
      <c r="B79" s="66"/>
      <c r="C79" s="50"/>
      <c r="D79" s="29" t="s">
        <v>8</v>
      </c>
      <c r="E79" s="21">
        <f t="shared" si="10"/>
        <v>7956</v>
      </c>
      <c r="F79" s="21">
        <f t="shared" si="10"/>
        <v>8460.7</v>
      </c>
      <c r="G79" s="21">
        <f t="shared" si="10"/>
        <v>9867.2</v>
      </c>
      <c r="H79" s="21">
        <f t="shared" si="10"/>
        <v>0</v>
      </c>
      <c r="I79" s="21">
        <f t="shared" si="10"/>
        <v>0</v>
      </c>
      <c r="J79" s="21">
        <f t="shared" si="10"/>
        <v>0</v>
      </c>
      <c r="K79" s="40">
        <f t="shared" si="0"/>
        <v>26283.9</v>
      </c>
      <c r="N79" s="12"/>
    </row>
    <row r="80" spans="1:14" ht="15">
      <c r="A80" s="66"/>
      <c r="B80" s="66"/>
      <c r="C80" s="46" t="s">
        <v>36</v>
      </c>
      <c r="D80" s="47"/>
      <c r="E80" s="47"/>
      <c r="F80" s="47"/>
      <c r="G80" s="47"/>
      <c r="H80" s="47"/>
      <c r="I80" s="47"/>
      <c r="J80" s="48"/>
      <c r="K80" s="40">
        <f t="shared" si="0"/>
        <v>0</v>
      </c>
      <c r="N80" s="12"/>
    </row>
    <row r="81" spans="1:14" ht="15">
      <c r="A81" s="66"/>
      <c r="B81" s="66"/>
      <c r="C81" s="52" t="s">
        <v>55</v>
      </c>
      <c r="D81" s="1" t="s">
        <v>7</v>
      </c>
      <c r="E81" s="17">
        <v>936</v>
      </c>
      <c r="F81" s="2">
        <f>936+4.1</f>
        <v>940.1</v>
      </c>
      <c r="G81" s="2">
        <f>940.1-0.5</f>
        <v>939.6</v>
      </c>
      <c r="H81" s="2">
        <v>940.1</v>
      </c>
      <c r="I81" s="2">
        <v>940.1</v>
      </c>
      <c r="J81" s="2">
        <v>0</v>
      </c>
      <c r="K81" s="40">
        <f t="shared" si="0"/>
        <v>4695.9</v>
      </c>
      <c r="N81" s="12"/>
    </row>
    <row r="82" spans="1:14" ht="25.5">
      <c r="A82" s="66"/>
      <c r="B82" s="66"/>
      <c r="C82" s="53"/>
      <c r="D82" s="1" t="s">
        <v>17</v>
      </c>
      <c r="E82" s="17">
        <v>7956</v>
      </c>
      <c r="F82" s="2">
        <v>8460.7</v>
      </c>
      <c r="G82" s="2">
        <v>9867.2</v>
      </c>
      <c r="H82" s="2">
        <v>0</v>
      </c>
      <c r="I82" s="2">
        <v>0</v>
      </c>
      <c r="J82" s="2">
        <v>0</v>
      </c>
      <c r="K82" s="40">
        <f t="shared" si="0"/>
        <v>26283.9</v>
      </c>
      <c r="N82" s="12"/>
    </row>
    <row r="83" spans="1:14" ht="15">
      <c r="A83" s="66"/>
      <c r="B83" s="66"/>
      <c r="C83" s="55" t="s">
        <v>74</v>
      </c>
      <c r="D83" s="56"/>
      <c r="E83" s="56"/>
      <c r="F83" s="56"/>
      <c r="G83" s="56"/>
      <c r="H83" s="56"/>
      <c r="I83" s="56"/>
      <c r="J83" s="57"/>
      <c r="K83" s="40">
        <f t="shared" si="0"/>
        <v>0</v>
      </c>
      <c r="N83" s="12"/>
    </row>
    <row r="84" spans="1:14" ht="15">
      <c r="A84" s="66"/>
      <c r="B84" s="66"/>
      <c r="C84" s="35" t="s">
        <v>19</v>
      </c>
      <c r="D84" s="28" t="s">
        <v>7</v>
      </c>
      <c r="E84" s="20">
        <f aca="true" t="shared" si="11" ref="E84:J84">E86</f>
        <v>0</v>
      </c>
      <c r="F84" s="20">
        <f t="shared" si="11"/>
        <v>175</v>
      </c>
      <c r="G84" s="20">
        <f t="shared" si="11"/>
        <v>212.8</v>
      </c>
      <c r="H84" s="20">
        <f t="shared" si="11"/>
        <v>0</v>
      </c>
      <c r="I84" s="20">
        <f t="shared" si="11"/>
        <v>0</v>
      </c>
      <c r="J84" s="20">
        <f t="shared" si="11"/>
        <v>0</v>
      </c>
      <c r="K84" s="40">
        <f t="shared" si="0"/>
        <v>387.8</v>
      </c>
      <c r="N84" s="12"/>
    </row>
    <row r="85" spans="1:14" ht="15">
      <c r="A85" s="66"/>
      <c r="B85" s="66"/>
      <c r="C85" s="46" t="s">
        <v>36</v>
      </c>
      <c r="D85" s="47"/>
      <c r="E85" s="47"/>
      <c r="F85" s="47"/>
      <c r="G85" s="47"/>
      <c r="H85" s="47"/>
      <c r="I85" s="47"/>
      <c r="J85" s="48"/>
      <c r="K85" s="40">
        <f t="shared" si="0"/>
        <v>0</v>
      </c>
      <c r="N85" s="12"/>
    </row>
    <row r="86" spans="1:14" ht="38.25">
      <c r="A86" s="67"/>
      <c r="B86" s="67"/>
      <c r="C86" s="27" t="s">
        <v>55</v>
      </c>
      <c r="D86" s="1" t="s">
        <v>7</v>
      </c>
      <c r="E86" s="17">
        <v>0</v>
      </c>
      <c r="F86" s="2">
        <f>195-20</f>
        <v>175</v>
      </c>
      <c r="G86" s="2">
        <f>44+70+98.8</f>
        <v>212.8</v>
      </c>
      <c r="H86" s="2">
        <v>0</v>
      </c>
      <c r="I86" s="2">
        <v>0</v>
      </c>
      <c r="J86" s="2">
        <v>0</v>
      </c>
      <c r="K86" s="40">
        <f aca="true" t="shared" si="12" ref="K86:K102">E86+F86+G86+H86+I86+J86</f>
        <v>387.8</v>
      </c>
      <c r="N86" s="12"/>
    </row>
    <row r="87" spans="1:14" ht="30" customHeight="1">
      <c r="A87" s="65">
        <v>2</v>
      </c>
      <c r="B87" s="52" t="s">
        <v>37</v>
      </c>
      <c r="C87" s="49" t="s">
        <v>38</v>
      </c>
      <c r="D87" s="29" t="s">
        <v>39</v>
      </c>
      <c r="E87" s="18">
        <f aca="true" t="shared" si="13" ref="E87:J87">E92+E93</f>
        <v>41613.8</v>
      </c>
      <c r="F87" s="18">
        <f>F92+F93</f>
        <v>39956.19999999999</v>
      </c>
      <c r="G87" s="18">
        <f t="shared" si="13"/>
        <v>44115.49999999999</v>
      </c>
      <c r="H87" s="18">
        <f t="shared" si="13"/>
        <v>40793.5</v>
      </c>
      <c r="I87" s="18">
        <f t="shared" si="13"/>
        <v>40799.399999999994</v>
      </c>
      <c r="J87" s="18">
        <f t="shared" si="13"/>
        <v>43509.9</v>
      </c>
      <c r="K87" s="40">
        <f t="shared" si="12"/>
        <v>250788.3</v>
      </c>
      <c r="N87" s="12"/>
    </row>
    <row r="88" spans="1:14" ht="15">
      <c r="A88" s="66"/>
      <c r="B88" s="68"/>
      <c r="C88" s="54"/>
      <c r="D88" s="46" t="s">
        <v>35</v>
      </c>
      <c r="E88" s="47"/>
      <c r="F88" s="47"/>
      <c r="G88" s="47"/>
      <c r="H88" s="47"/>
      <c r="I88" s="47"/>
      <c r="J88" s="48"/>
      <c r="K88" s="40">
        <f t="shared" si="12"/>
        <v>0</v>
      </c>
      <c r="N88" s="12"/>
    </row>
    <row r="89" spans="1:14" ht="15">
      <c r="A89" s="66"/>
      <c r="B89" s="68"/>
      <c r="C89" s="54"/>
      <c r="D89" s="29" t="s">
        <v>7</v>
      </c>
      <c r="E89" s="19">
        <f aca="true" t="shared" si="14" ref="E89:J90">E92</f>
        <v>36212.100000000006</v>
      </c>
      <c r="F89" s="19">
        <f t="shared" si="14"/>
        <v>34748.09999999999</v>
      </c>
      <c r="G89" s="19">
        <f t="shared" si="14"/>
        <v>36586.99999999999</v>
      </c>
      <c r="H89" s="19">
        <f t="shared" si="14"/>
        <v>33137.7</v>
      </c>
      <c r="I89" s="19">
        <f t="shared" si="14"/>
        <v>33099.6</v>
      </c>
      <c r="J89" s="19">
        <f t="shared" si="14"/>
        <v>38165.4</v>
      </c>
      <c r="K89" s="40">
        <f t="shared" si="12"/>
        <v>211949.89999999997</v>
      </c>
      <c r="N89" s="12"/>
    </row>
    <row r="90" spans="1:14" ht="38.25">
      <c r="A90" s="66"/>
      <c r="B90" s="68"/>
      <c r="C90" s="50"/>
      <c r="D90" s="29" t="s">
        <v>8</v>
      </c>
      <c r="E90" s="19">
        <f>E93</f>
        <v>5401.7</v>
      </c>
      <c r="F90" s="19">
        <f>F93</f>
        <v>5208.099999999999</v>
      </c>
      <c r="G90" s="19">
        <f t="shared" si="14"/>
        <v>7528.5</v>
      </c>
      <c r="H90" s="19">
        <f t="shared" si="14"/>
        <v>7655.8</v>
      </c>
      <c r="I90" s="19">
        <f t="shared" si="14"/>
        <v>7699.799999999998</v>
      </c>
      <c r="J90" s="19">
        <f t="shared" si="14"/>
        <v>5344.500000000001</v>
      </c>
      <c r="K90" s="40">
        <f t="shared" si="12"/>
        <v>38838.399999999994</v>
      </c>
      <c r="N90" s="12"/>
    </row>
    <row r="91" spans="1:14" ht="15">
      <c r="A91" s="66"/>
      <c r="B91" s="68"/>
      <c r="C91" s="51" t="s">
        <v>14</v>
      </c>
      <c r="D91" s="51"/>
      <c r="E91" s="51"/>
      <c r="F91" s="51"/>
      <c r="G91" s="51"/>
      <c r="H91" s="51"/>
      <c r="I91" s="51"/>
      <c r="J91" s="51"/>
      <c r="K91" s="40">
        <f t="shared" si="12"/>
        <v>0</v>
      </c>
      <c r="N91" s="12"/>
    </row>
    <row r="92" spans="1:14" ht="15">
      <c r="A92" s="66"/>
      <c r="B92" s="68"/>
      <c r="C92" s="49" t="s">
        <v>19</v>
      </c>
      <c r="D92" s="29" t="s">
        <v>7</v>
      </c>
      <c r="E92" s="18">
        <f aca="true" t="shared" si="15" ref="E92:J92">E95</f>
        <v>36212.100000000006</v>
      </c>
      <c r="F92" s="18">
        <f>F95</f>
        <v>34748.09999999999</v>
      </c>
      <c r="G92" s="18">
        <f t="shared" si="15"/>
        <v>36586.99999999999</v>
      </c>
      <c r="H92" s="18">
        <f t="shared" si="15"/>
        <v>33137.7</v>
      </c>
      <c r="I92" s="18">
        <f t="shared" si="15"/>
        <v>33099.6</v>
      </c>
      <c r="J92" s="18">
        <f t="shared" si="15"/>
        <v>38165.4</v>
      </c>
      <c r="K92" s="40">
        <f t="shared" si="12"/>
        <v>211949.89999999997</v>
      </c>
      <c r="N92" s="12"/>
    </row>
    <row r="93" spans="1:14" ht="38.25">
      <c r="A93" s="66"/>
      <c r="B93" s="68"/>
      <c r="C93" s="50"/>
      <c r="D93" s="29" t="s">
        <v>8</v>
      </c>
      <c r="E93" s="18">
        <f aca="true" t="shared" si="16" ref="E93:J93">E96+E98+E99+E100+E101+E97+E102</f>
        <v>5401.7</v>
      </c>
      <c r="F93" s="18">
        <f t="shared" si="16"/>
        <v>5208.099999999999</v>
      </c>
      <c r="G93" s="18">
        <f t="shared" si="16"/>
        <v>7528.5</v>
      </c>
      <c r="H93" s="18">
        <f t="shared" si="16"/>
        <v>7655.8</v>
      </c>
      <c r="I93" s="18">
        <f t="shared" si="16"/>
        <v>7699.799999999998</v>
      </c>
      <c r="J93" s="18">
        <f t="shared" si="16"/>
        <v>5344.500000000001</v>
      </c>
      <c r="K93" s="40">
        <f t="shared" si="12"/>
        <v>38838.399999999994</v>
      </c>
      <c r="N93" s="12"/>
    </row>
    <row r="94" spans="1:14" ht="15">
      <c r="A94" s="66"/>
      <c r="B94" s="68"/>
      <c r="C94" s="46" t="s">
        <v>36</v>
      </c>
      <c r="D94" s="47"/>
      <c r="E94" s="47"/>
      <c r="F94" s="47"/>
      <c r="G94" s="47"/>
      <c r="H94" s="47"/>
      <c r="I94" s="47"/>
      <c r="J94" s="48"/>
      <c r="K94" s="40">
        <f t="shared" si="12"/>
        <v>0</v>
      </c>
      <c r="N94" s="12"/>
    </row>
    <row r="95" spans="1:14" ht="29.25" customHeight="1">
      <c r="A95" s="66"/>
      <c r="B95" s="68"/>
      <c r="C95" s="1" t="s">
        <v>45</v>
      </c>
      <c r="D95" s="1" t="s">
        <v>7</v>
      </c>
      <c r="E95" s="2">
        <f>38165.4-137.1-428.7-443.1-529.9-234.5-180</f>
        <v>36212.100000000006</v>
      </c>
      <c r="F95" s="2">
        <f>36609.3-554.8-326.9-727.9-33.4-26.3-18.2-23.9-4.9-5.4-195.4+55.9</f>
        <v>34748.09999999999</v>
      </c>
      <c r="G95" s="2">
        <f>33158.6+3742.7-124.8-185.7-3.8</f>
        <v>36586.99999999999</v>
      </c>
      <c r="H95" s="2">
        <f>33177.7-40</f>
        <v>33137.7</v>
      </c>
      <c r="I95" s="2">
        <f>33139.6-40</f>
        <v>33099.6</v>
      </c>
      <c r="J95" s="2">
        <v>38165.4</v>
      </c>
      <c r="K95" s="40">
        <f t="shared" si="12"/>
        <v>211949.89999999997</v>
      </c>
      <c r="N95" s="12"/>
    </row>
    <row r="96" spans="1:14" ht="53.25" customHeight="1">
      <c r="A96" s="66"/>
      <c r="B96" s="68"/>
      <c r="C96" s="1" t="s">
        <v>28</v>
      </c>
      <c r="D96" s="1" t="s">
        <v>17</v>
      </c>
      <c r="E96" s="2">
        <f>2415.6-20</f>
        <v>2395.6</v>
      </c>
      <c r="F96" s="2">
        <f>2415.6-29.3</f>
        <v>2386.2999999999997</v>
      </c>
      <c r="G96" s="2">
        <f>4831.4-86.8</f>
        <v>4744.599999999999</v>
      </c>
      <c r="H96" s="2">
        <v>4831.4</v>
      </c>
      <c r="I96" s="2">
        <v>4831.4</v>
      </c>
      <c r="J96" s="2">
        <v>2415.6</v>
      </c>
      <c r="K96" s="40">
        <f t="shared" si="12"/>
        <v>21604.899999999998</v>
      </c>
      <c r="N96" s="12"/>
    </row>
    <row r="97" spans="1:14" ht="91.5" customHeight="1">
      <c r="A97" s="66"/>
      <c r="B97" s="68"/>
      <c r="C97" s="1" t="s">
        <v>69</v>
      </c>
      <c r="D97" s="1" t="s">
        <v>17</v>
      </c>
      <c r="E97" s="2">
        <v>433.3</v>
      </c>
      <c r="F97" s="2">
        <v>0</v>
      </c>
      <c r="G97" s="2">
        <v>0</v>
      </c>
      <c r="H97" s="2">
        <v>0</v>
      </c>
      <c r="I97" s="2">
        <v>0</v>
      </c>
      <c r="J97" s="2">
        <v>405.3</v>
      </c>
      <c r="K97" s="40">
        <f t="shared" si="12"/>
        <v>838.6</v>
      </c>
      <c r="N97" s="12"/>
    </row>
    <row r="98" spans="1:14" ht="117" customHeight="1">
      <c r="A98" s="66"/>
      <c r="B98" s="68"/>
      <c r="C98" s="1" t="s">
        <v>66</v>
      </c>
      <c r="D98" s="1" t="s">
        <v>17</v>
      </c>
      <c r="E98" s="2">
        <v>0</v>
      </c>
      <c r="F98" s="2">
        <f>234.8+0.6+1.2</f>
        <v>236.6</v>
      </c>
      <c r="G98" s="2">
        <f>240.4+1.7+0.9+2</f>
        <v>245</v>
      </c>
      <c r="H98" s="2">
        <v>251.7</v>
      </c>
      <c r="I98" s="2">
        <v>260.9</v>
      </c>
      <c r="J98" s="2">
        <v>0</v>
      </c>
      <c r="K98" s="40">
        <f t="shared" si="12"/>
        <v>994.1999999999999</v>
      </c>
      <c r="N98" s="12"/>
    </row>
    <row r="99" spans="1:14" ht="69" customHeight="1">
      <c r="A99" s="66"/>
      <c r="B99" s="68"/>
      <c r="C99" s="1" t="s">
        <v>41</v>
      </c>
      <c r="D99" s="1" t="s">
        <v>17</v>
      </c>
      <c r="E99" s="2">
        <f>1.2-0.1+0.1</f>
        <v>1.2</v>
      </c>
      <c r="F99" s="2">
        <v>1.2</v>
      </c>
      <c r="G99" s="2">
        <f>1.1-0.1</f>
        <v>1</v>
      </c>
      <c r="H99" s="2">
        <v>1.1</v>
      </c>
      <c r="I99" s="2">
        <v>1.2</v>
      </c>
      <c r="J99" s="2">
        <v>1.1</v>
      </c>
      <c r="K99" s="40">
        <f t="shared" si="12"/>
        <v>6.800000000000001</v>
      </c>
      <c r="N99" s="12"/>
    </row>
    <row r="100" spans="1:14" ht="81" customHeight="1">
      <c r="A100" s="66"/>
      <c r="B100" s="68"/>
      <c r="C100" s="1" t="s">
        <v>47</v>
      </c>
      <c r="D100" s="1" t="s">
        <v>17</v>
      </c>
      <c r="E100" s="2">
        <v>2555</v>
      </c>
      <c r="F100" s="2">
        <f>2177+159.8+14.7</f>
        <v>2351.5</v>
      </c>
      <c r="G100" s="2">
        <v>2294.3</v>
      </c>
      <c r="H100" s="2">
        <v>2314.3</v>
      </c>
      <c r="I100" s="2">
        <v>2338.2</v>
      </c>
      <c r="J100" s="2">
        <v>2505.9</v>
      </c>
      <c r="K100" s="40">
        <f t="shared" si="12"/>
        <v>14359.199999999999</v>
      </c>
      <c r="N100" s="12"/>
    </row>
    <row r="101" spans="1:14" ht="91.5" customHeight="1">
      <c r="A101" s="67"/>
      <c r="B101" s="53"/>
      <c r="C101" s="1" t="s">
        <v>63</v>
      </c>
      <c r="D101" s="1" t="s">
        <v>17</v>
      </c>
      <c r="E101" s="2">
        <v>16.6</v>
      </c>
      <c r="F101" s="2">
        <v>18.1</v>
      </c>
      <c r="G101" s="2">
        <v>19.5</v>
      </c>
      <c r="H101" s="2">
        <v>21.1</v>
      </c>
      <c r="I101" s="2">
        <v>21.2</v>
      </c>
      <c r="J101" s="2">
        <v>16.6</v>
      </c>
      <c r="K101" s="40">
        <f t="shared" si="12"/>
        <v>113.10000000000002</v>
      </c>
      <c r="N101" s="12"/>
    </row>
    <row r="102" spans="1:14" ht="114.75">
      <c r="A102" s="6"/>
      <c r="B102" s="25"/>
      <c r="C102" s="1" t="s">
        <v>67</v>
      </c>
      <c r="D102" s="1" t="s">
        <v>17</v>
      </c>
      <c r="E102" s="31">
        <v>0</v>
      </c>
      <c r="F102" s="2">
        <f>201.4+1.5+4.3+2.1+5.1</f>
        <v>214.4</v>
      </c>
      <c r="G102" s="2">
        <f>221.3+1.1+0.7+1</f>
        <v>224.1</v>
      </c>
      <c r="H102" s="2">
        <v>236.2</v>
      </c>
      <c r="I102" s="2">
        <v>246.9</v>
      </c>
      <c r="J102" s="2">
        <v>0</v>
      </c>
      <c r="K102" s="40">
        <f t="shared" si="12"/>
        <v>921.6</v>
      </c>
      <c r="N102" s="12"/>
    </row>
    <row r="103" spans="1:11" ht="15">
      <c r="A103" s="7"/>
      <c r="B103" s="8"/>
      <c r="C103" s="9"/>
      <c r="D103" s="9"/>
      <c r="E103" s="10"/>
      <c r="F103" s="10"/>
      <c r="G103" s="36"/>
      <c r="H103" s="36"/>
      <c r="I103" s="36"/>
      <c r="J103" s="10"/>
      <c r="K103" s="30"/>
    </row>
    <row r="104" spans="1:11" ht="15">
      <c r="A104" s="7"/>
      <c r="B104" s="8"/>
      <c r="C104" s="9"/>
      <c r="D104" s="9"/>
      <c r="E104" s="10"/>
      <c r="F104" s="10"/>
      <c r="G104" s="36"/>
      <c r="H104" s="36"/>
      <c r="I104" s="36"/>
      <c r="J104" s="10"/>
      <c r="K104" s="30"/>
    </row>
    <row r="105" spans="1:11" ht="15">
      <c r="A105" s="7"/>
      <c r="B105" s="8"/>
      <c r="C105" s="9"/>
      <c r="D105" s="9"/>
      <c r="E105" s="10"/>
      <c r="F105" s="10"/>
      <c r="G105" s="36"/>
      <c r="H105" s="36"/>
      <c r="I105" s="36"/>
      <c r="J105" s="10"/>
      <c r="K105" s="30"/>
    </row>
    <row r="106" spans="2:13" ht="15">
      <c r="B106" s="23" t="s">
        <v>64</v>
      </c>
      <c r="C106" s="3"/>
      <c r="D106" s="3"/>
      <c r="E106" s="3"/>
      <c r="F106" s="3"/>
      <c r="H106" s="24" t="s">
        <v>70</v>
      </c>
      <c r="M106" s="11"/>
    </row>
    <row r="107" spans="5:10" ht="15">
      <c r="E107" s="5"/>
      <c r="F107" s="5"/>
      <c r="G107" s="37"/>
      <c r="H107" s="37"/>
      <c r="I107" s="37"/>
      <c r="J107" s="5"/>
    </row>
    <row r="108" spans="5:10" ht="15">
      <c r="E108" s="12"/>
      <c r="F108" s="12"/>
      <c r="G108" s="38"/>
      <c r="H108" s="38"/>
      <c r="I108" s="38"/>
      <c r="J108" s="12"/>
    </row>
    <row r="113" spans="5:10" ht="15">
      <c r="E113" s="12"/>
      <c r="F113" s="12"/>
      <c r="G113" s="38"/>
      <c r="H113" s="38"/>
      <c r="I113" s="38"/>
      <c r="J113" s="12"/>
    </row>
    <row r="115" spans="5:10" ht="15">
      <c r="E115" s="12"/>
      <c r="F115" s="12"/>
      <c r="G115" s="38"/>
      <c r="H115" s="38"/>
      <c r="I115" s="38"/>
      <c r="J115" s="12"/>
    </row>
    <row r="116" spans="6:10" ht="15">
      <c r="F116" s="12"/>
      <c r="G116" s="38"/>
      <c r="H116" s="39"/>
      <c r="I116" s="39"/>
      <c r="J116" s="13"/>
    </row>
    <row r="117" spans="6:7" ht="15">
      <c r="F117" s="12"/>
      <c r="G117" s="38"/>
    </row>
    <row r="120" spans="5:10" ht="15">
      <c r="E120" s="13"/>
      <c r="F120" s="13"/>
      <c r="G120" s="39"/>
      <c r="H120" s="39"/>
      <c r="I120" s="39"/>
      <c r="J120" s="13"/>
    </row>
    <row r="126" ht="15">
      <c r="E126" s="12"/>
    </row>
  </sheetData>
  <sheetProtection/>
  <mergeCells count="50">
    <mergeCell ref="C46:C47"/>
    <mergeCell ref="C94:J94"/>
    <mergeCell ref="C33:J33"/>
    <mergeCell ref="C64:C65"/>
    <mergeCell ref="D25:J25"/>
    <mergeCell ref="D14:J14"/>
    <mergeCell ref="C83:J83"/>
    <mergeCell ref="C85:J85"/>
    <mergeCell ref="C30:C32"/>
    <mergeCell ref="C24:C28"/>
    <mergeCell ref="B14:B17"/>
    <mergeCell ref="C14:C17"/>
    <mergeCell ref="A14:A17"/>
    <mergeCell ref="A87:A101"/>
    <mergeCell ref="B87:B101"/>
    <mergeCell ref="B24:B86"/>
    <mergeCell ref="A24:A86"/>
    <mergeCell ref="B19:B23"/>
    <mergeCell ref="A19:A23"/>
    <mergeCell ref="C92:C93"/>
    <mergeCell ref="E16:J16"/>
    <mergeCell ref="C61:C62"/>
    <mergeCell ref="C57:C58"/>
    <mergeCell ref="F7:J7"/>
    <mergeCell ref="D20:J20"/>
    <mergeCell ref="D15:J15"/>
    <mergeCell ref="C19:C23"/>
    <mergeCell ref="C29:J29"/>
    <mergeCell ref="C43:C44"/>
    <mergeCell ref="C60:J60"/>
    <mergeCell ref="C87:C90"/>
    <mergeCell ref="C77:J77"/>
    <mergeCell ref="C78:C79"/>
    <mergeCell ref="C81:C82"/>
    <mergeCell ref="H1:J1"/>
    <mergeCell ref="G2:J2"/>
    <mergeCell ref="H3:J3"/>
    <mergeCell ref="F5:J5"/>
    <mergeCell ref="F6:J6"/>
    <mergeCell ref="C69:J69"/>
    <mergeCell ref="C63:J63"/>
    <mergeCell ref="C73:C74"/>
    <mergeCell ref="C80:J80"/>
    <mergeCell ref="C91:J91"/>
    <mergeCell ref="D88:J88"/>
    <mergeCell ref="C66:J66"/>
    <mergeCell ref="C67:C68"/>
    <mergeCell ref="C70:C71"/>
    <mergeCell ref="C72:J72"/>
    <mergeCell ref="C75:C76"/>
  </mergeCells>
  <printOptions/>
  <pageMargins left="0" right="0" top="0.1968503937007874" bottom="0.1968503937007874" header="0.1968503937007874" footer="0.15748031496062992"/>
  <pageSetup horizontalDpi="600" verticalDpi="600" orientation="landscape" paperSize="9" scale="92" r:id="rId3"/>
  <rowBreaks count="4" manualBreakCount="4">
    <brk id="45" max="9" man="1"/>
    <brk id="55" max="9" man="1"/>
    <brk id="74" max="9" man="1"/>
    <brk id="10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города Пензы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Глухова</dc:creator>
  <cp:keywords/>
  <dc:description/>
  <cp:lastModifiedBy>smetanina</cp:lastModifiedBy>
  <cp:lastPrinted>2017-07-31T08:04:05Z</cp:lastPrinted>
  <dcterms:created xsi:type="dcterms:W3CDTF">2014-06-08T13:25:44Z</dcterms:created>
  <dcterms:modified xsi:type="dcterms:W3CDTF">2017-12-27T11:10:34Z</dcterms:modified>
  <cp:category/>
  <cp:version/>
  <cp:contentType/>
  <cp:contentStatus/>
</cp:coreProperties>
</file>