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приведение в соответсвие с бюдж" sheetId="1" r:id="rId1"/>
    <sheet name="на февр.Думу со шк. и д.с" sheetId="5" r:id="rId2"/>
    <sheet name="на мартовскую ДУМУ" sheetId="6" r:id="rId3"/>
  </sheets>
  <definedNames>
    <definedName name="_xlnm.Print_Titles" localSheetId="2">'на мартовскую ДУМУ'!$4:$7</definedName>
    <definedName name="_xlnm.Print_Titles" localSheetId="1">'на февр.Думу со шк. и д.с'!$4:$7</definedName>
    <definedName name="_xlnm.Print_Area" localSheetId="2">'на мартовскую ДУМУ'!$A$1:$I$93</definedName>
  </definedNames>
  <calcPr calcId="145621"/>
</workbook>
</file>

<file path=xl/calcChain.xml><?xml version="1.0" encoding="utf-8"?>
<calcChain xmlns="http://schemas.openxmlformats.org/spreadsheetml/2006/main">
  <c r="G90" i="6" l="1"/>
  <c r="G32" i="6"/>
  <c r="G84" i="6"/>
  <c r="G85" i="6"/>
  <c r="F90" i="6" l="1"/>
  <c r="E90" i="6" s="1"/>
  <c r="E89" i="6"/>
  <c r="E88" i="6"/>
  <c r="F87" i="6"/>
  <c r="E87" i="6"/>
  <c r="F86" i="6"/>
  <c r="E86" i="6" s="1"/>
  <c r="F85" i="6"/>
  <c r="E85" i="6" s="1"/>
  <c r="F84" i="6"/>
  <c r="E84" i="6" s="1"/>
  <c r="I83" i="6"/>
  <c r="I82" i="6" s="1"/>
  <c r="H83" i="6"/>
  <c r="G83" i="6"/>
  <c r="G82" i="6" s="1"/>
  <c r="H82" i="6"/>
  <c r="E81" i="6"/>
  <c r="G80" i="6"/>
  <c r="F80" i="6"/>
  <c r="F79" i="6"/>
  <c r="E79" i="6" s="1"/>
  <c r="F78" i="6"/>
  <c r="E78" i="6" s="1"/>
  <c r="I77" i="6"/>
  <c r="H77" i="6"/>
  <c r="G77" i="6"/>
  <c r="I76" i="6"/>
  <c r="H76" i="6"/>
  <c r="E76" i="6" s="1"/>
  <c r="F75" i="6"/>
  <c r="E75" i="6" s="1"/>
  <c r="F74" i="6"/>
  <c r="E74" i="6" s="1"/>
  <c r="F73" i="6"/>
  <c r="E73" i="6" s="1"/>
  <c r="F72" i="6"/>
  <c r="E72" i="6" s="1"/>
  <c r="G71" i="6"/>
  <c r="F71" i="6"/>
  <c r="E71" i="6" s="1"/>
  <c r="E70" i="6"/>
  <c r="I69" i="6"/>
  <c r="G69" i="6"/>
  <c r="F69" i="6"/>
  <c r="E69" i="6" s="1"/>
  <c r="I68" i="6"/>
  <c r="H68" i="6"/>
  <c r="G68" i="6"/>
  <c r="F68" i="6"/>
  <c r="E68" i="6"/>
  <c r="F67" i="6"/>
  <c r="E67" i="6"/>
  <c r="I66" i="6"/>
  <c r="H66" i="6"/>
  <c r="G66" i="6"/>
  <c r="F66" i="6"/>
  <c r="I65" i="6"/>
  <c r="G65" i="6"/>
  <c r="G64" i="6" s="1"/>
  <c r="I64" i="6"/>
  <c r="E63" i="6"/>
  <c r="E62" i="6"/>
  <c r="E61" i="6"/>
  <c r="H60" i="6"/>
  <c r="G60" i="6"/>
  <c r="F60" i="6"/>
  <c r="E60" i="6" s="1"/>
  <c r="E59" i="6"/>
  <c r="E58" i="6"/>
  <c r="H57" i="6"/>
  <c r="G57" i="6"/>
  <c r="F57" i="6"/>
  <c r="E57" i="6" s="1"/>
  <c r="G56" i="6"/>
  <c r="F56" i="6"/>
  <c r="E56" i="6" s="1"/>
  <c r="H55" i="6"/>
  <c r="E55" i="6" s="1"/>
  <c r="F54" i="6"/>
  <c r="E54" i="6" s="1"/>
  <c r="F53" i="6"/>
  <c r="E53" i="6"/>
  <c r="E52" i="6"/>
  <c r="G51" i="6"/>
  <c r="E51" i="6" s="1"/>
  <c r="G50" i="6"/>
  <c r="E50" i="6"/>
  <c r="G49" i="6"/>
  <c r="E49" i="6" s="1"/>
  <c r="E48" i="6"/>
  <c r="H47" i="6"/>
  <c r="E47" i="6" s="1"/>
  <c r="E46" i="6"/>
  <c r="E45" i="6"/>
  <c r="F44" i="6"/>
  <c r="E44" i="6" s="1"/>
  <c r="E43" i="6"/>
  <c r="I42" i="6"/>
  <c r="H42" i="6"/>
  <c r="G42" i="6"/>
  <c r="F41" i="6"/>
  <c r="E41" i="6" s="1"/>
  <c r="F40" i="6"/>
  <c r="E40" i="6" s="1"/>
  <c r="H39" i="6"/>
  <c r="G39" i="6"/>
  <c r="F39" i="6"/>
  <c r="E39" i="6" s="1"/>
  <c r="E38" i="6"/>
  <c r="G37" i="6"/>
  <c r="G36" i="6" s="1"/>
  <c r="F37" i="6"/>
  <c r="E37" i="6" s="1"/>
  <c r="I36" i="6"/>
  <c r="H36" i="6"/>
  <c r="E35" i="6"/>
  <c r="G34" i="6"/>
  <c r="E34" i="6" s="1"/>
  <c r="F34" i="6"/>
  <c r="I33" i="6"/>
  <c r="H33" i="6"/>
  <c r="F33" i="6"/>
  <c r="F32" i="6"/>
  <c r="E32" i="6" s="1"/>
  <c r="F31" i="6"/>
  <c r="E31" i="6"/>
  <c r="F30" i="6"/>
  <c r="E30" i="6" s="1"/>
  <c r="F29" i="6"/>
  <c r="E29" i="6"/>
  <c r="F28" i="6"/>
  <c r="E28" i="6" s="1"/>
  <c r="F27" i="6"/>
  <c r="E27" i="6"/>
  <c r="F26" i="6"/>
  <c r="E26" i="6" s="1"/>
  <c r="F25" i="6"/>
  <c r="E25" i="6"/>
  <c r="F24" i="6"/>
  <c r="E24" i="6" s="1"/>
  <c r="I23" i="6"/>
  <c r="H23" i="6"/>
  <c r="G23" i="6"/>
  <c r="F22" i="6"/>
  <c r="E22" i="6" s="1"/>
  <c r="E21" i="6"/>
  <c r="H20" i="6"/>
  <c r="H19" i="6" s="1"/>
  <c r="G20" i="6"/>
  <c r="G19" i="6" s="1"/>
  <c r="F20" i="6"/>
  <c r="E20" i="6" s="1"/>
  <c r="I19" i="6"/>
  <c r="F19" i="6"/>
  <c r="F18" i="6"/>
  <c r="E18" i="6" s="1"/>
  <c r="F17" i="6"/>
  <c r="E17" i="6" s="1"/>
  <c r="I16" i="6"/>
  <c r="H16" i="6"/>
  <c r="G16" i="6"/>
  <c r="G11" i="6" s="1"/>
  <c r="I15" i="6"/>
  <c r="H15" i="6"/>
  <c r="H10" i="6" s="1"/>
  <c r="G15" i="6"/>
  <c r="F15" i="6"/>
  <c r="I14" i="6"/>
  <c r="H14" i="6"/>
  <c r="H13" i="6" s="1"/>
  <c r="I13" i="6"/>
  <c r="I11" i="6"/>
  <c r="H11" i="6"/>
  <c r="I10" i="6"/>
  <c r="G10" i="6"/>
  <c r="F10" i="6"/>
  <c r="I9" i="6"/>
  <c r="I8" i="6" s="1"/>
  <c r="I14" i="5"/>
  <c r="E62" i="5"/>
  <c r="E63" i="5"/>
  <c r="F79" i="5"/>
  <c r="F74" i="1"/>
  <c r="E82" i="1"/>
  <c r="E88" i="5"/>
  <c r="G34" i="5"/>
  <c r="H15" i="5"/>
  <c r="I15" i="5"/>
  <c r="I10" i="5" s="1"/>
  <c r="G15" i="5"/>
  <c r="G60" i="5"/>
  <c r="H60" i="5"/>
  <c r="F60" i="5"/>
  <c r="E61" i="5"/>
  <c r="E59" i="5"/>
  <c r="F90" i="5"/>
  <c r="E90" i="5" s="1"/>
  <c r="E89" i="5"/>
  <c r="F87" i="5"/>
  <c r="E87" i="5" s="1"/>
  <c r="F86" i="5"/>
  <c r="E86" i="5"/>
  <c r="F85" i="5"/>
  <c r="F83" i="5" s="1"/>
  <c r="F82" i="5" s="1"/>
  <c r="E82" i="5" s="1"/>
  <c r="F84" i="5"/>
  <c r="E84" i="5" s="1"/>
  <c r="I83" i="5"/>
  <c r="H83" i="5"/>
  <c r="G83" i="5"/>
  <c r="I82" i="5"/>
  <c r="H82" i="5"/>
  <c r="G82" i="5"/>
  <c r="E81" i="5"/>
  <c r="G80" i="5"/>
  <c r="F80" i="5"/>
  <c r="E79" i="5"/>
  <c r="F78" i="5"/>
  <c r="E78" i="5" s="1"/>
  <c r="I77" i="5"/>
  <c r="H77" i="5"/>
  <c r="G77" i="5"/>
  <c r="F77" i="5"/>
  <c r="E77" i="5" s="1"/>
  <c r="I76" i="5"/>
  <c r="H76" i="5"/>
  <c r="E76" i="5" s="1"/>
  <c r="F75" i="5"/>
  <c r="E75" i="5" s="1"/>
  <c r="F74" i="5"/>
  <c r="E74" i="5" s="1"/>
  <c r="F73" i="5"/>
  <c r="E73" i="5" s="1"/>
  <c r="F72" i="5"/>
  <c r="E72" i="5" s="1"/>
  <c r="G71" i="5"/>
  <c r="F71" i="5"/>
  <c r="E70" i="5"/>
  <c r="I69" i="5"/>
  <c r="G69" i="5"/>
  <c r="F69" i="5"/>
  <c r="F65" i="5" s="1"/>
  <c r="I68" i="5"/>
  <c r="H68" i="5"/>
  <c r="G68" i="5"/>
  <c r="F67" i="5"/>
  <c r="E67" i="5" s="1"/>
  <c r="I66" i="5"/>
  <c r="H66" i="5"/>
  <c r="H64" i="5" s="1"/>
  <c r="G66" i="5"/>
  <c r="F66" i="5"/>
  <c r="E66" i="5" s="1"/>
  <c r="I65" i="5"/>
  <c r="I64" i="5" s="1"/>
  <c r="H65" i="5"/>
  <c r="G65" i="5"/>
  <c r="G64" i="5"/>
  <c r="E58" i="5"/>
  <c r="H57" i="5"/>
  <c r="G57" i="5"/>
  <c r="F57" i="5"/>
  <c r="G56" i="5"/>
  <c r="F56" i="5"/>
  <c r="H55" i="5"/>
  <c r="E55" i="5" s="1"/>
  <c r="F54" i="5"/>
  <c r="E54" i="5" s="1"/>
  <c r="F53" i="5"/>
  <c r="E53" i="5" s="1"/>
  <c r="E52" i="5"/>
  <c r="G51" i="5"/>
  <c r="E51" i="5" s="1"/>
  <c r="G50" i="5"/>
  <c r="E50" i="5" s="1"/>
  <c r="G49" i="5"/>
  <c r="E49" i="5" s="1"/>
  <c r="E48" i="5"/>
  <c r="H47" i="5"/>
  <c r="E47" i="5" s="1"/>
  <c r="E46" i="5"/>
  <c r="E45" i="5"/>
  <c r="F44" i="5"/>
  <c r="E44" i="5" s="1"/>
  <c r="E43" i="5"/>
  <c r="I42" i="5"/>
  <c r="H42" i="5"/>
  <c r="G42" i="5"/>
  <c r="F41" i="5"/>
  <c r="E41" i="5" s="1"/>
  <c r="F40" i="5"/>
  <c r="E40" i="5" s="1"/>
  <c r="H39" i="5"/>
  <c r="G39" i="5"/>
  <c r="F39" i="5"/>
  <c r="E39" i="5" s="1"/>
  <c r="E38" i="5"/>
  <c r="G37" i="5"/>
  <c r="G36" i="5" s="1"/>
  <c r="F37" i="5"/>
  <c r="E37" i="5" s="1"/>
  <c r="I36" i="5"/>
  <c r="H36" i="5"/>
  <c r="F36" i="5"/>
  <c r="E35" i="5"/>
  <c r="F34" i="5"/>
  <c r="E34" i="5" s="1"/>
  <c r="I33" i="5"/>
  <c r="H33" i="5"/>
  <c r="G33" i="5"/>
  <c r="G32" i="5"/>
  <c r="F32" i="5"/>
  <c r="F31" i="5"/>
  <c r="E31" i="5" s="1"/>
  <c r="F30" i="5"/>
  <c r="E30" i="5" s="1"/>
  <c r="F29" i="5"/>
  <c r="E29" i="5" s="1"/>
  <c r="F28" i="5"/>
  <c r="E28" i="5" s="1"/>
  <c r="F27" i="5"/>
  <c r="E27" i="5" s="1"/>
  <c r="F26" i="5"/>
  <c r="E26" i="5" s="1"/>
  <c r="F25" i="5"/>
  <c r="E25" i="5" s="1"/>
  <c r="F24" i="5"/>
  <c r="E24" i="5" s="1"/>
  <c r="I23" i="5"/>
  <c r="H23" i="5"/>
  <c r="G23" i="5"/>
  <c r="F22" i="5"/>
  <c r="E22" i="5" s="1"/>
  <c r="E21" i="5"/>
  <c r="H20" i="5"/>
  <c r="H19" i="5" s="1"/>
  <c r="G20" i="5"/>
  <c r="F20" i="5"/>
  <c r="I19" i="5"/>
  <c r="F18" i="5"/>
  <c r="E18" i="5" s="1"/>
  <c r="F17" i="5"/>
  <c r="F14" i="5" s="1"/>
  <c r="I16" i="5"/>
  <c r="H16" i="5"/>
  <c r="H11" i="5" s="1"/>
  <c r="G16" i="5"/>
  <c r="G11" i="5" s="1"/>
  <c r="F15" i="5"/>
  <c r="I13" i="5"/>
  <c r="I11" i="5"/>
  <c r="F10" i="5"/>
  <c r="I9" i="5"/>
  <c r="F84" i="1"/>
  <c r="E84" i="1" s="1"/>
  <c r="E83" i="1"/>
  <c r="F81" i="1"/>
  <c r="E81" i="1" s="1"/>
  <c r="F80" i="1"/>
  <c r="E80" i="1" s="1"/>
  <c r="F79" i="1"/>
  <c r="E79" i="1" s="1"/>
  <c r="F78" i="1"/>
  <c r="E78" i="1" s="1"/>
  <c r="I77" i="1"/>
  <c r="I76" i="1" s="1"/>
  <c r="H77" i="1"/>
  <c r="H76" i="1" s="1"/>
  <c r="G77" i="1"/>
  <c r="G76" i="1" s="1"/>
  <c r="F75" i="1"/>
  <c r="E75" i="1" s="1"/>
  <c r="E74" i="1"/>
  <c r="F73" i="1"/>
  <c r="E73" i="1" s="1"/>
  <c r="I72" i="1"/>
  <c r="H72" i="1"/>
  <c r="G72" i="1"/>
  <c r="I71" i="1"/>
  <c r="H71" i="1"/>
  <c r="F70" i="1"/>
  <c r="E70" i="1" s="1"/>
  <c r="F69" i="1"/>
  <c r="E69" i="1" s="1"/>
  <c r="F68" i="1"/>
  <c r="E68" i="1" s="1"/>
  <c r="F67" i="1"/>
  <c r="E67" i="1" s="1"/>
  <c r="G66" i="1"/>
  <c r="G60" i="1" s="1"/>
  <c r="G59" i="1" s="1"/>
  <c r="F66" i="1"/>
  <c r="E66" i="1" s="1"/>
  <c r="E65" i="1"/>
  <c r="I64" i="1"/>
  <c r="I63" i="1" s="1"/>
  <c r="G64" i="1"/>
  <c r="F64" i="1"/>
  <c r="H63" i="1"/>
  <c r="G63" i="1"/>
  <c r="F62" i="1"/>
  <c r="E62" i="1" s="1"/>
  <c r="I61" i="1"/>
  <c r="I10" i="1" s="1"/>
  <c r="H61" i="1"/>
  <c r="G61" i="1"/>
  <c r="F61" i="1"/>
  <c r="I60" i="1"/>
  <c r="I59" i="1" s="1"/>
  <c r="E58" i="1"/>
  <c r="H57" i="1"/>
  <c r="G57" i="1"/>
  <c r="F57" i="1"/>
  <c r="E57" i="1" s="1"/>
  <c r="G56" i="1"/>
  <c r="F56" i="1"/>
  <c r="E56" i="1" s="1"/>
  <c r="H55" i="1"/>
  <c r="E55" i="1" s="1"/>
  <c r="F54" i="1"/>
  <c r="E54" i="1" s="1"/>
  <c r="F53" i="1"/>
  <c r="E53" i="1" s="1"/>
  <c r="E52" i="1"/>
  <c r="G51" i="1"/>
  <c r="E51" i="1" s="1"/>
  <c r="G50" i="1"/>
  <c r="E50" i="1"/>
  <c r="G49" i="1"/>
  <c r="E49" i="1" s="1"/>
  <c r="E48" i="1"/>
  <c r="H47" i="1"/>
  <c r="E47" i="1" s="1"/>
  <c r="E46" i="1"/>
  <c r="E45" i="1"/>
  <c r="F44" i="1"/>
  <c r="E44" i="1" s="1"/>
  <c r="E43" i="1"/>
  <c r="I42" i="1"/>
  <c r="H42" i="1"/>
  <c r="G42" i="1"/>
  <c r="F42" i="1"/>
  <c r="F41" i="1"/>
  <c r="E41" i="1" s="1"/>
  <c r="F40" i="1"/>
  <c r="E40" i="1" s="1"/>
  <c r="H39" i="1"/>
  <c r="G39" i="1"/>
  <c r="G14" i="1" s="1"/>
  <c r="G13" i="1" s="1"/>
  <c r="F39" i="1"/>
  <c r="E38" i="1"/>
  <c r="F37" i="1"/>
  <c r="E37" i="1"/>
  <c r="I36" i="1"/>
  <c r="H36" i="1"/>
  <c r="G36" i="1"/>
  <c r="F36" i="1"/>
  <c r="E36" i="1" s="1"/>
  <c r="E35" i="1"/>
  <c r="F34" i="1"/>
  <c r="E34" i="1" s="1"/>
  <c r="I33" i="1"/>
  <c r="H33" i="1"/>
  <c r="G33" i="1"/>
  <c r="G32" i="1"/>
  <c r="F32" i="1"/>
  <c r="F31" i="1"/>
  <c r="E31" i="1" s="1"/>
  <c r="F30" i="1"/>
  <c r="E30" i="1" s="1"/>
  <c r="F29" i="1"/>
  <c r="E29" i="1" s="1"/>
  <c r="F28" i="1"/>
  <c r="E28" i="1" s="1"/>
  <c r="F27" i="1"/>
  <c r="E27" i="1" s="1"/>
  <c r="F26" i="1"/>
  <c r="E26" i="1" s="1"/>
  <c r="F25" i="1"/>
  <c r="E25" i="1" s="1"/>
  <c r="F24" i="1"/>
  <c r="E24" i="1" s="1"/>
  <c r="I23" i="1"/>
  <c r="H23" i="1"/>
  <c r="G23" i="1"/>
  <c r="F22" i="1"/>
  <c r="E22" i="1"/>
  <c r="E21" i="1"/>
  <c r="H20" i="1"/>
  <c r="H19" i="1" s="1"/>
  <c r="G20" i="1"/>
  <c r="F20" i="1"/>
  <c r="E20" i="1" s="1"/>
  <c r="I19" i="1"/>
  <c r="G19" i="1"/>
  <c r="F18" i="1"/>
  <c r="E18" i="1"/>
  <c r="F17" i="1"/>
  <c r="F14" i="1" s="1"/>
  <c r="I16" i="1"/>
  <c r="H16" i="1"/>
  <c r="H11" i="1" s="1"/>
  <c r="G16" i="1"/>
  <c r="G11" i="1" s="1"/>
  <c r="F16" i="1"/>
  <c r="I15" i="1"/>
  <c r="H15" i="1"/>
  <c r="H10" i="1" s="1"/>
  <c r="G15" i="1"/>
  <c r="G10" i="1" s="1"/>
  <c r="F15" i="1"/>
  <c r="E15" i="1" s="1"/>
  <c r="I14" i="1"/>
  <c r="I13" i="1" s="1"/>
  <c r="I11" i="1"/>
  <c r="F11" i="1"/>
  <c r="F10" i="1"/>
  <c r="E65" i="5" l="1"/>
  <c r="F64" i="5"/>
  <c r="E64" i="5" s="1"/>
  <c r="I8" i="5"/>
  <c r="G14" i="5"/>
  <c r="G13" i="5" s="1"/>
  <c r="H65" i="6"/>
  <c r="H64" i="6" s="1"/>
  <c r="E17" i="1"/>
  <c r="E64" i="1"/>
  <c r="H10" i="5"/>
  <c r="F16" i="5"/>
  <c r="F11" i="5" s="1"/>
  <c r="F14" i="6"/>
  <c r="E15" i="6"/>
  <c r="G33" i="6"/>
  <c r="E33" i="6" s="1"/>
  <c r="F36" i="6"/>
  <c r="E36" i="6" s="1"/>
  <c r="F42" i="6"/>
  <c r="E42" i="6" s="1"/>
  <c r="F65" i="6"/>
  <c r="E66" i="6"/>
  <c r="E80" i="6"/>
  <c r="I9" i="1"/>
  <c r="I8" i="1" s="1"/>
  <c r="H14" i="1"/>
  <c r="H13" i="1" s="1"/>
  <c r="E39" i="1"/>
  <c r="F42" i="5"/>
  <c r="E42" i="5" s="1"/>
  <c r="F68" i="5"/>
  <c r="E68" i="5" s="1"/>
  <c r="E69" i="5"/>
  <c r="E85" i="5"/>
  <c r="H14" i="5"/>
  <c r="H9" i="6"/>
  <c r="H8" i="6" s="1"/>
  <c r="G14" i="6"/>
  <c r="F16" i="6"/>
  <c r="F23" i="6"/>
  <c r="E23" i="6" s="1"/>
  <c r="F77" i="6"/>
  <c r="E77" i="6" s="1"/>
  <c r="E32" i="1"/>
  <c r="E61" i="1"/>
  <c r="E71" i="1"/>
  <c r="E15" i="5"/>
  <c r="E32" i="5"/>
  <c r="E57" i="5"/>
  <c r="E10" i="6"/>
  <c r="E19" i="6"/>
  <c r="F83" i="6"/>
  <c r="E80" i="5"/>
  <c r="F9" i="5"/>
  <c r="E11" i="5"/>
  <c r="E16" i="5"/>
  <c r="E17" i="5"/>
  <c r="G19" i="5"/>
  <c r="E20" i="5"/>
  <c r="E56" i="5"/>
  <c r="E71" i="5"/>
  <c r="G10" i="5"/>
  <c r="E10" i="1"/>
  <c r="E83" i="5"/>
  <c r="E60" i="5"/>
  <c r="E36" i="5"/>
  <c r="F8" i="5"/>
  <c r="F13" i="5"/>
  <c r="F19" i="5"/>
  <c r="E19" i="5" s="1"/>
  <c r="F23" i="5"/>
  <c r="E23" i="5" s="1"/>
  <c r="F33" i="5"/>
  <c r="E33" i="5" s="1"/>
  <c r="G9" i="1"/>
  <c r="G8" i="1" s="1"/>
  <c r="E14" i="1"/>
  <c r="E16" i="1"/>
  <c r="E11" i="1"/>
  <c r="E42" i="1"/>
  <c r="F13" i="1"/>
  <c r="E13" i="1" s="1"/>
  <c r="F19" i="1"/>
  <c r="E19" i="1" s="1"/>
  <c r="F23" i="1"/>
  <c r="E23" i="1" s="1"/>
  <c r="F33" i="1"/>
  <c r="E33" i="1" s="1"/>
  <c r="F60" i="1"/>
  <c r="H60" i="1"/>
  <c r="F63" i="1"/>
  <c r="E63" i="1" s="1"/>
  <c r="F72" i="1"/>
  <c r="E72" i="1" s="1"/>
  <c r="F77" i="1"/>
  <c r="F82" i="6" l="1"/>
  <c r="E82" i="6" s="1"/>
  <c r="E83" i="6"/>
  <c r="E16" i="6"/>
  <c r="F11" i="6"/>
  <c r="E11" i="6" s="1"/>
  <c r="G9" i="5"/>
  <c r="G8" i="5" s="1"/>
  <c r="G13" i="6"/>
  <c r="G9" i="6"/>
  <c r="G8" i="6" s="1"/>
  <c r="E65" i="6"/>
  <c r="F64" i="6"/>
  <c r="E64" i="6" s="1"/>
  <c r="E14" i="6"/>
  <c r="F9" i="6"/>
  <c r="F13" i="6"/>
  <c r="E13" i="6" s="1"/>
  <c r="E10" i="5"/>
  <c r="H13" i="5"/>
  <c r="H9" i="5"/>
  <c r="H8" i="5" s="1"/>
  <c r="E8" i="5" s="1"/>
  <c r="E13" i="5"/>
  <c r="E14" i="5"/>
  <c r="E60" i="1"/>
  <c r="F59" i="1"/>
  <c r="F9" i="1"/>
  <c r="E77" i="1"/>
  <c r="F76" i="1"/>
  <c r="E76" i="1" s="1"/>
  <c r="H59" i="1"/>
  <c r="H9" i="1"/>
  <c r="H8" i="1" s="1"/>
  <c r="F8" i="6" l="1"/>
  <c r="E8" i="6" s="1"/>
  <c r="E9" i="6"/>
  <c r="E9" i="5"/>
  <c r="E9" i="1"/>
  <c r="F8" i="1"/>
  <c r="E8" i="1" s="1"/>
  <c r="E59" i="1"/>
</calcChain>
</file>

<file path=xl/sharedStrings.xml><?xml version="1.0" encoding="utf-8"?>
<sst xmlns="http://schemas.openxmlformats.org/spreadsheetml/2006/main" count="467" uniqueCount="87">
  <si>
    <t>Приложение 2 к Постановлению администрации города Пензы от_________ № ______</t>
  </si>
  <si>
    <t xml:space="preserve">Приложение №2 
к муниципальной программе 
«Развитие территорий, социальной 
и инженерной инфраструктуры 
в городе Пензе на 2015-2018 годы»
</t>
  </si>
  <si>
    <t>Ресурсное обеспечение реализации муниципальной программы «Развитие территорий, социальной и инженерной инфраструктуры в городе Пензе на 2015-2018 годы» за счет всех источников финансирования</t>
  </si>
  <si>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</si>
  <si>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</si>
  <si>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</si>
  <si>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</si>
  <si>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</si>
  <si>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</si>
  <si>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</si>
  <si>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Всего</t>
  </si>
  <si>
    <t>2015 г.</t>
  </si>
  <si>
    <t>2016 г.</t>
  </si>
  <si>
    <t>2017 г.</t>
  </si>
  <si>
    <t>2018 г.</t>
  </si>
  <si>
    <t>Муниципальная программа</t>
  </si>
  <si>
    <t>Развитие территорий, социальной и инженерной инфраструктуры города Пензы на 2015-2018 годы</t>
  </si>
  <si>
    <t>в т.ч. бюджет города Пензы</t>
  </si>
  <si>
    <t>бюджет Пензенской области</t>
  </si>
  <si>
    <t>федеральный бюджет</t>
  </si>
  <si>
    <t>Подпрограмма 1</t>
  </si>
  <si>
    <t>Капитальное строительство, реконструкция и капитальный ремонт объектов города Пензы</t>
  </si>
  <si>
    <t>Реконструкция улично-дорожной сети г. Пензы. Реконструкция улиц: Суворова, Некрасова, Толстого</t>
  </si>
  <si>
    <t>бюджет города Пензы</t>
  </si>
  <si>
    <t>Реконструкция ул. Пушкина, г. Пенза</t>
  </si>
  <si>
    <t>Реконструкция ул. Антонова, г. Пенза</t>
  </si>
  <si>
    <t>всего</t>
  </si>
  <si>
    <t>Реконструкция улично-дорожной сети г. Пензы. Строительство автодороги в мкр. Междуречье</t>
  </si>
  <si>
    <t>Капитальный ремонт фонтана около больницы скорой помощи, г. Пенза</t>
  </si>
  <si>
    <t>Капитальный ремонт сквера у памятника Победы, г. Пенза</t>
  </si>
  <si>
    <t>Капитальный ремонт сквера «Пионерский», г. Пенза</t>
  </si>
  <si>
    <t>Изготовление и монтаж Георгиевского креста в сквере "Пионерский", г. Пенза</t>
  </si>
  <si>
    <t>Изготовление и монтаж композиции "Журавли" в сквере "Пионерский", г. Пенза</t>
  </si>
  <si>
    <t>Реконструкция корпуса №2 ДОУ №39 по ул. Беляева, 25а</t>
  </si>
  <si>
    <t>Детский сад в районе ул. Измайлова, 56 в г. Пенза</t>
  </si>
  <si>
    <t>Строительство корпуса №2 МБДОУ №120 (г. Пенза, ул.Экспериментальная, 2б)</t>
  </si>
  <si>
    <t>Строительство корпуса №2 МБОУ СОШ №69 (г. Пенза, ул. Терновского, 168)</t>
  </si>
  <si>
    <t>Строительство школы в районе ул. Шевченко/Новый Кавказ в г. Пензе</t>
  </si>
  <si>
    <t>Реконструкция Пензенского городского зоопарка, г. Пенза, ул. Красная, 10</t>
  </si>
  <si>
    <t>Капитальный ремонт Монумента Славы, г. Пенза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</si>
  <si>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</si>
  <si>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 т.ч. бюджет Пензенской области</t>
  </si>
  <si>
    <t>Водоснабжение пос. Победа, г. Пенза</t>
  </si>
  <si>
    <t>Строительство магистральной водопроводной сети до пос. Лесной</t>
  </si>
  <si>
    <t>Строительство сети водоотведения пос. Лесной в г. Пензе</t>
  </si>
  <si>
    <t>Канализование жилых домов с 1 по 197 по адресу: г. Пенза, ул. Арбековская</t>
  </si>
  <si>
    <t>Водоснабжение жилых домов с №1 по №197 по ул. Арбековская в г. Пензе.</t>
  </si>
  <si>
    <t>Строительство надземных пешеходных переходов, г. Пенза</t>
  </si>
  <si>
    <t>Строительство универсального спортивно-оздоровительного комплекса в районе Шуист г. Пензы</t>
  </si>
  <si>
    <t>Строительство сетей ливневой канализации по ул.Кривозерье, г.Пенза</t>
  </si>
  <si>
    <t>Строительство учреждения культуры и искусства (Театр юного зрителя), г. Пенза</t>
  </si>
  <si>
    <t>Реконструкция ул.Бакунина (от ул.Плеханова до ул.Кулакова)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</si>
  <si>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</si>
  <si>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Строительство лыжного стадиона "Снежинка", г.Пенза</t>
  </si>
  <si>
    <t>Объект культурного наследия регионального значения "Дом жилой (деревянный), XIX в.", г.Пенза</t>
  </si>
  <si>
    <t>Подпрограмма 2</t>
  </si>
  <si>
    <t>Стимулирование развития жилищного строительства в городе Пензе</t>
  </si>
  <si>
    <t>Строительство автодороги в микрорайоне, расположенном между пос.Нефтяник и пос.Заря</t>
  </si>
  <si>
    <t>Строительство автодороги в районе ул. Бадигина</t>
  </si>
  <si>
    <t>Строительство магистральной сети хозяйственно-бытовой канализации в жилом районе Заря, г. Пенза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</si>
  <si>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</si>
  <si>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сетей газоснабжения к участкам многоквартирных жилых домов, расположенным севернее мкр. №6 жилого района Заря 1, г. Пенза</t>
  </si>
  <si>
    <t>Строительство сетей газоснабжения в микрорайоне, расположенном между пос.Нефтяник и пос.Заря</t>
  </si>
  <si>
    <t>Насосная станция 3-го подъема в микрорайоне Арбеково г. Пензы</t>
  </si>
  <si>
    <t>Строительство сетей водоснабжения в микрорайоне, расположенном между пос. Нефтяник и пос. Заря</t>
  </si>
  <si>
    <t>Строительство ливневой канализации в мкр.Шуист</t>
  </si>
  <si>
    <t>Подпрограмма 3</t>
  </si>
  <si>
    <t>Управление развитием в области капитального строительства и рекламно-информационного, художественного оформления и дизайна в городе Пензе</t>
  </si>
  <si>
    <t>Обеспечение деятельности МКУ УКС г. Пензы</t>
  </si>
  <si>
    <t>Подготовка документации по планировке территорий города Пензы</t>
  </si>
  <si>
    <t>Проведение кадастровых работ по установлению (изменению) границы городского округа - город Пенза и земель населенного пункта в его границах</t>
  </si>
  <si>
    <t>Проведение кадастровых работ по установлению границ территориальных зон для последующего внесения данных сведений в государственный кадастр недвижимости</t>
  </si>
  <si>
    <t>Проведение городского конкурса на разработку проекта благоустройства набережной реки Суры в городе Пензе (территория между Бакунинским мостом и островом Пески: левый берег-ул.Урицкого, правый берег - ул.Злобина)</t>
  </si>
  <si>
    <t>Мероприятие по контролю за размещением наружной рекламы на территории города Пензы</t>
  </si>
  <si>
    <t>Первый заместитель главы администрации</t>
  </si>
  <si>
    <t>В.А. Попков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</si>
  <si>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</si>
  <si>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Приложение __ к Постановлению администрации города Пензы от_________ № ______</t>
  </si>
  <si>
    <t>Строительство школы в мкр.Шуист, г.Пенза</t>
  </si>
  <si>
    <t>Строительство детского сада на 175 мест в мкр.Заря, г.Пенза</t>
  </si>
  <si>
    <t xml:space="preserve"> </t>
  </si>
  <si>
    <t>Расходы на определение границ прилегающих к некоторым организациям и объектам территорий, на которых не допускается розничная продажа алкогольной продукции</t>
  </si>
  <si>
    <t>Строительство сетей водосабжения пос. "ЗИФ", г.Пенза</t>
  </si>
  <si>
    <t>оптимизация расходов</t>
  </si>
  <si>
    <t>С.В. Волков</t>
  </si>
  <si>
    <t>налог на землю</t>
  </si>
  <si>
    <t>Приложение _1_ к Постановлению администрации города Пензы от 24.03.2016 № 396/6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</si>
</sst>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р_._-;\-* #,##0.00_р_._-;_-* &quot;-&quot;??_р_._-;_-@_-"/>
    <numFmt numFmtId="164" formatCode="#,##0.00000"/>
    <numFmt numFmtId="165" formatCode="#,##0.000"/>
    <numFmt numFmtId="166" formatCode="#,##0.0000000"/>
    <numFmt numFmtId="167" formatCode="#,##0.00_ ;\-#,##0.00\ 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?_р_._-;_-@_-"/>
    <numFmt numFmtId="171" formatCode="_-* #,##0.000_р_._-;\-* #,##0.000_р_._-;_-* &quot;-&quot;??_р_._-;_-@_-"/>
    <numFmt numFmtId="172" formatCode="#,##0.00000_ ;\-#,##0.00000\ "/>
    <numFmt numFmtId="173" formatCode="#,##0.000000_ ;\-#,##0.000000\ "/>
    <numFmt numFmtId="174" formatCode="#,##0.000_ ;\-#,##0.000\ "/>
    <numFmt numFmtId="175" formatCode="#,##0.0_ ;\-#,##0.0\ "/>
    <numFmt numFmtId="176" formatCode="_-* #,##0.00000_р_._-;\-* #,##0.00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justify" vertical="top" wrapText="1"/>
    </xf>
    <xf numFmtId="164" fontId="5" fillId="0" borderId="2" xfId="2" applyNumberFormat="1" applyFont="1" applyFill="1" applyBorder="1" applyAlignment="1">
      <alignment horizontal="center" vertical="top" wrapText="1"/>
    </xf>
    <xf numFmtId="4" fontId="5" fillId="0" borderId="2" xfId="2" applyNumberFormat="1" applyFont="1" applyFill="1" applyBorder="1" applyAlignment="1">
      <alignment horizontal="center" vertical="top" wrapText="1"/>
    </xf>
    <xf numFmtId="165" fontId="5" fillId="0" borderId="2" xfId="2" applyNumberFormat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vertical="top" wrapText="1"/>
    </xf>
    <xf numFmtId="164" fontId="4" fillId="0" borderId="2" xfId="2" applyNumberFormat="1" applyFont="1" applyFill="1" applyBorder="1" applyAlignment="1">
      <alignment horizontal="center" vertical="top" wrapText="1"/>
    </xf>
    <xf numFmtId="4" fontId="4" fillId="0" borderId="2" xfId="2" applyNumberFormat="1" applyFont="1" applyFill="1" applyBorder="1" applyAlignment="1">
      <alignment horizontal="center" vertical="top" wrapText="1"/>
    </xf>
    <xf numFmtId="165" fontId="4" fillId="0" borderId="2" xfId="2" applyNumberFormat="1" applyFont="1" applyFill="1" applyBorder="1" applyAlignment="1">
      <alignment horizontal="center" vertical="top" wrapText="1"/>
    </xf>
    <xf numFmtId="4" fontId="4" fillId="2" borderId="2" xfId="2" applyNumberFormat="1" applyFont="1" applyFill="1" applyBorder="1" applyAlignment="1">
      <alignment horizontal="center" vertical="top" wrapText="1"/>
    </xf>
    <xf numFmtId="0" fontId="6" fillId="0" borderId="2" xfId="1" applyFont="1" applyBorder="1" applyAlignment="1">
      <alignment horizontal="justify" vertical="top" wrapText="1"/>
    </xf>
    <xf numFmtId="0" fontId="6" fillId="0" borderId="2" xfId="1" applyFont="1" applyBorder="1" applyAlignment="1">
      <alignment vertical="top" wrapText="1"/>
    </xf>
    <xf numFmtId="0" fontId="6" fillId="0" borderId="2" xfId="1" applyFont="1" applyFill="1" applyBorder="1" applyAlignment="1">
      <alignment horizontal="justify" vertical="top" wrapText="1"/>
    </xf>
    <xf numFmtId="166" fontId="6" fillId="0" borderId="2" xfId="1" applyNumberFormat="1" applyFont="1" applyFill="1" applyBorder="1" applyAlignment="1">
      <alignment horizontal="center" vertical="top" wrapText="1"/>
    </xf>
    <xf numFmtId="166" fontId="6" fillId="2" borderId="2" xfId="1" applyNumberFormat="1" applyFont="1" applyFill="1" applyBorder="1" applyAlignment="1">
      <alignment horizontal="center" vertical="top" wrapText="1"/>
    </xf>
    <xf numFmtId="164" fontId="5" fillId="0" borderId="2" xfId="2" applyNumberFormat="1" applyFont="1" applyFill="1" applyBorder="1" applyAlignment="1">
      <alignment horizontal="left" vertical="top" wrapText="1"/>
    </xf>
    <xf numFmtId="164" fontId="5" fillId="2" borderId="2" xfId="2" applyNumberFormat="1" applyFont="1" applyFill="1" applyBorder="1" applyAlignment="1">
      <alignment horizontal="left" vertical="top" wrapText="1"/>
    </xf>
    <xf numFmtId="4" fontId="5" fillId="2" borderId="2" xfId="2" applyNumberFormat="1" applyFont="1" applyFill="1" applyBorder="1" applyAlignment="1">
      <alignment horizontal="left" vertical="top" wrapText="1"/>
    </xf>
    <xf numFmtId="165" fontId="5" fillId="2" borderId="2" xfId="2" applyNumberFormat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vertical="top" wrapText="1"/>
    </xf>
    <xf numFmtId="4" fontId="5" fillId="0" borderId="2" xfId="2" applyNumberFormat="1" applyFont="1" applyFill="1" applyBorder="1" applyAlignment="1">
      <alignment horizontal="left" vertical="top" wrapText="1"/>
    </xf>
    <xf numFmtId="0" fontId="4" fillId="0" borderId="2" xfId="1" applyFont="1" applyBorder="1" applyAlignment="1">
      <alignment horizontal="justify" vertical="top" wrapText="1"/>
    </xf>
    <xf numFmtId="0" fontId="4" fillId="0" borderId="2" xfId="1" applyFont="1" applyBorder="1" applyAlignment="1">
      <alignment vertical="top" wrapText="1"/>
    </xf>
    <xf numFmtId="167" fontId="4" fillId="0" borderId="2" xfId="2" applyNumberFormat="1" applyFont="1" applyFill="1" applyBorder="1" applyAlignment="1">
      <alignment horizontal="center" vertical="top" wrapText="1"/>
    </xf>
    <xf numFmtId="43" fontId="4" fillId="2" borderId="2" xfId="2" applyNumberFormat="1" applyFont="1" applyFill="1" applyBorder="1" applyAlignment="1">
      <alignment horizontal="center" vertical="top" wrapText="1"/>
    </xf>
    <xf numFmtId="168" fontId="4" fillId="2" borderId="2" xfId="2" applyNumberFormat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vertical="top" wrapText="1"/>
    </xf>
    <xf numFmtId="43" fontId="7" fillId="0" borderId="2" xfId="2" applyNumberFormat="1" applyFont="1" applyFill="1" applyBorder="1" applyAlignment="1">
      <alignment horizontal="center" vertical="top" wrapText="1"/>
    </xf>
    <xf numFmtId="43" fontId="8" fillId="2" borderId="2" xfId="1" applyNumberFormat="1" applyFont="1" applyFill="1" applyBorder="1"/>
    <xf numFmtId="169" fontId="8" fillId="2" borderId="2" xfId="1" applyNumberFormat="1" applyFont="1" applyFill="1" applyBorder="1"/>
    <xf numFmtId="43" fontId="4" fillId="0" borderId="2" xfId="2" applyNumberFormat="1" applyFont="1" applyFill="1" applyBorder="1" applyAlignment="1">
      <alignment horizontal="center" vertical="top" wrapText="1"/>
    </xf>
    <xf numFmtId="168" fontId="4" fillId="0" borderId="2" xfId="2" applyNumberFormat="1" applyFont="1" applyFill="1" applyBorder="1" applyAlignment="1">
      <alignment horizontal="center" vertical="top" wrapText="1"/>
    </xf>
    <xf numFmtId="168" fontId="7" fillId="2" borderId="2" xfId="2" applyNumberFormat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justify" vertical="top" wrapText="1"/>
    </xf>
    <xf numFmtId="4" fontId="4" fillId="0" borderId="2" xfId="2" applyNumberFormat="1" applyFont="1" applyFill="1" applyBorder="1" applyAlignment="1">
      <alignment horizontal="right" vertical="top" wrapText="1"/>
    </xf>
    <xf numFmtId="4" fontId="4" fillId="2" borderId="2" xfId="2" applyNumberFormat="1" applyFont="1" applyFill="1" applyBorder="1" applyAlignment="1">
      <alignment horizontal="right" vertical="top" wrapText="1"/>
    </xf>
    <xf numFmtId="168" fontId="9" fillId="2" borderId="2" xfId="2" applyNumberFormat="1" applyFont="1" applyFill="1" applyBorder="1" applyAlignment="1">
      <alignment horizontal="center" vertical="top" wrapText="1"/>
    </xf>
    <xf numFmtId="43" fontId="7" fillId="0" borderId="2" xfId="2" applyNumberFormat="1" applyFont="1" applyFill="1" applyBorder="1" applyAlignment="1">
      <alignment horizontal="left" vertical="top" wrapText="1"/>
    </xf>
    <xf numFmtId="170" fontId="8" fillId="2" borderId="2" xfId="1" applyNumberFormat="1" applyFont="1" applyFill="1" applyBorder="1"/>
    <xf numFmtId="43" fontId="4" fillId="0" borderId="2" xfId="2" applyNumberFormat="1" applyFont="1" applyFill="1" applyBorder="1" applyAlignment="1">
      <alignment horizontal="left" vertical="top" wrapText="1"/>
    </xf>
    <xf numFmtId="43" fontId="4" fillId="2" borderId="2" xfId="2" applyNumberFormat="1" applyFont="1" applyFill="1" applyBorder="1" applyAlignment="1">
      <alignment horizontal="left" vertical="top" wrapText="1"/>
    </xf>
    <xf numFmtId="168" fontId="9" fillId="2" borderId="2" xfId="2" applyNumberFormat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vertical="top" wrapText="1"/>
    </xf>
    <xf numFmtId="168" fontId="4" fillId="2" borderId="2" xfId="2" applyNumberFormat="1" applyFont="1" applyFill="1" applyBorder="1" applyAlignment="1">
      <alignment horizontal="left" vertical="top" wrapText="1"/>
    </xf>
    <xf numFmtId="171" fontId="4" fillId="0" borderId="2" xfId="2" applyNumberFormat="1" applyFont="1" applyFill="1" applyBorder="1" applyAlignment="1">
      <alignment horizontal="center" vertical="top" wrapText="1"/>
    </xf>
    <xf numFmtId="171" fontId="4" fillId="2" borderId="2" xfId="2" applyNumberFormat="1" applyFont="1" applyFill="1" applyBorder="1" applyAlignment="1">
      <alignment horizontal="center" vertical="top" wrapText="1"/>
    </xf>
    <xf numFmtId="172" fontId="7" fillId="0" borderId="2" xfId="2" applyNumberFormat="1" applyFont="1" applyFill="1" applyBorder="1" applyAlignment="1">
      <alignment horizontal="center" vertical="top" wrapText="1"/>
    </xf>
    <xf numFmtId="173" fontId="7" fillId="2" borderId="2" xfId="2" applyNumberFormat="1" applyFont="1" applyFill="1" applyBorder="1" applyAlignment="1">
      <alignment horizontal="center" vertical="top" wrapText="1"/>
    </xf>
    <xf numFmtId="167" fontId="7" fillId="2" borderId="2" xfId="2" applyNumberFormat="1" applyFont="1" applyFill="1" applyBorder="1" applyAlignment="1">
      <alignment horizontal="center" vertical="top" wrapText="1"/>
    </xf>
    <xf numFmtId="174" fontId="7" fillId="2" borderId="2" xfId="2" applyNumberFormat="1" applyFont="1" applyFill="1" applyBorder="1" applyAlignment="1">
      <alignment horizontal="center" vertical="top" wrapText="1"/>
    </xf>
    <xf numFmtId="172" fontId="4" fillId="0" borderId="2" xfId="2" applyNumberFormat="1" applyFont="1" applyFill="1" applyBorder="1" applyAlignment="1">
      <alignment horizontal="center" vertical="top" wrapText="1"/>
    </xf>
    <xf numFmtId="172" fontId="4" fillId="2" borderId="2" xfId="2" applyNumberFormat="1" applyFont="1" applyFill="1" applyBorder="1" applyAlignment="1">
      <alignment horizontal="center" vertical="top" wrapText="1"/>
    </xf>
    <xf numFmtId="174" fontId="4" fillId="2" borderId="2" xfId="2" applyNumberFormat="1" applyFont="1" applyFill="1" applyBorder="1" applyAlignment="1">
      <alignment horizontal="center" vertical="top" wrapText="1"/>
    </xf>
    <xf numFmtId="175" fontId="4" fillId="2" borderId="2" xfId="2" applyNumberFormat="1" applyFont="1" applyFill="1" applyBorder="1" applyAlignment="1">
      <alignment horizontal="center" vertical="top" wrapText="1"/>
    </xf>
    <xf numFmtId="167" fontId="4" fillId="2" borderId="2" xfId="2" applyNumberFormat="1" applyFont="1" applyFill="1" applyBorder="1" applyAlignment="1">
      <alignment horizontal="center" vertical="top" wrapText="1"/>
    </xf>
    <xf numFmtId="43" fontId="9" fillId="2" borderId="2" xfId="2" applyNumberFormat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wrapText="1"/>
    </xf>
    <xf numFmtId="171" fontId="4" fillId="0" borderId="2" xfId="2" applyNumberFormat="1" applyFont="1" applyFill="1" applyBorder="1" applyAlignment="1">
      <alignment horizontal="left" vertical="top" wrapText="1"/>
    </xf>
    <xf numFmtId="171" fontId="4" fillId="2" borderId="2" xfId="2" applyNumberFormat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vertical="top" wrapText="1"/>
    </xf>
    <xf numFmtId="0" fontId="4" fillId="0" borderId="3" xfId="1" applyFont="1" applyBorder="1" applyAlignment="1">
      <alignment horizontal="justify" vertical="top" wrapText="1"/>
    </xf>
    <xf numFmtId="0" fontId="4" fillId="0" borderId="3" xfId="1" applyFont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43" fontId="5" fillId="2" borderId="2" xfId="1" applyNumberFormat="1" applyFont="1" applyFill="1" applyBorder="1" applyAlignment="1">
      <alignment horizontal="center" vertical="top" wrapText="1"/>
    </xf>
    <xf numFmtId="43" fontId="5" fillId="0" borderId="2" xfId="2" applyNumberFormat="1" applyFont="1" applyFill="1" applyBorder="1" applyAlignment="1">
      <alignment horizontal="center" vertical="top" wrapText="1"/>
    </xf>
    <xf numFmtId="0" fontId="8" fillId="0" borderId="2" xfId="1" applyFont="1" applyBorder="1"/>
    <xf numFmtId="171" fontId="8" fillId="2" borderId="2" xfId="1" applyNumberFormat="1" applyFont="1" applyFill="1" applyBorder="1" applyAlignment="1">
      <alignment vertical="center"/>
    </xf>
    <xf numFmtId="171" fontId="4" fillId="2" borderId="2" xfId="1" applyNumberFormat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4" fillId="0" borderId="5" xfId="1" applyFont="1" applyFill="1" applyBorder="1" applyAlignment="1">
      <alignment horizontal="left" vertical="top" wrapText="1"/>
    </xf>
    <xf numFmtId="168" fontId="5" fillId="2" borderId="2" xfId="1" applyNumberFormat="1" applyFont="1" applyFill="1" applyBorder="1" applyAlignment="1">
      <alignment horizontal="center" vertical="top" wrapText="1"/>
    </xf>
    <xf numFmtId="0" fontId="1" fillId="0" borderId="2" xfId="1" applyFill="1" applyBorder="1"/>
    <xf numFmtId="0" fontId="1" fillId="0" borderId="0" xfId="1" applyFill="1"/>
    <xf numFmtId="0" fontId="10" fillId="0" borderId="0" xfId="1" applyFont="1"/>
    <xf numFmtId="0" fontId="10" fillId="0" borderId="0" xfId="1" applyFont="1" applyFill="1"/>
    <xf numFmtId="176" fontId="4" fillId="2" borderId="2" xfId="1" applyNumberFormat="1" applyFont="1" applyFill="1" applyBorder="1" applyAlignment="1">
      <alignment horizontal="center" vertical="top" wrapText="1"/>
    </xf>
    <xf numFmtId="176" fontId="8" fillId="2" borderId="2" xfId="1" applyNumberFormat="1" applyFont="1" applyFill="1" applyBorder="1" applyAlignment="1">
      <alignment vertical="center"/>
    </xf>
    <xf numFmtId="176" fontId="5" fillId="2" borderId="2" xfId="1" applyNumberFormat="1" applyFont="1" applyFill="1" applyBorder="1" applyAlignment="1">
      <alignment horizontal="center" vertical="top" wrapText="1"/>
    </xf>
    <xf numFmtId="168" fontId="4" fillId="3" borderId="2" xfId="2" applyNumberFormat="1" applyFont="1" applyFill="1" applyBorder="1" applyAlignment="1">
      <alignment horizontal="center" vertical="top" wrapText="1"/>
    </xf>
    <xf numFmtId="43" fontId="4" fillId="3" borderId="2" xfId="2" applyNumberFormat="1" applyFont="1" applyFill="1" applyBorder="1" applyAlignment="1">
      <alignment horizontal="left" vertical="top" wrapText="1"/>
    </xf>
    <xf numFmtId="171" fontId="4" fillId="3" borderId="2" xfId="2" applyNumberFormat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justify" vertical="top" wrapText="1"/>
    </xf>
    <xf numFmtId="0" fontId="5" fillId="0" borderId="2" xfId="1" applyFont="1" applyFill="1" applyBorder="1" applyAlignment="1">
      <alignment vertical="top" wrapText="1"/>
    </xf>
    <xf numFmtId="0" fontId="4" fillId="0" borderId="5" xfId="1" applyFont="1" applyFill="1" applyBorder="1" applyAlignment="1">
      <alignment horizontal="left" vertical="top" wrapText="1"/>
    </xf>
    <xf numFmtId="0" fontId="6" fillId="0" borderId="5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justify" vertical="top" wrapText="1"/>
    </xf>
    <xf numFmtId="0" fontId="4" fillId="0" borderId="2" xfId="1" applyFont="1" applyBorder="1" applyAlignment="1">
      <alignment horizontal="center" vertical="top" wrapText="1"/>
    </xf>
    <xf numFmtId="43" fontId="7" fillId="2" borderId="2" xfId="2" applyNumberFormat="1" applyFont="1" applyFill="1" applyBorder="1" applyAlignment="1">
      <alignment horizontal="left" vertical="top" wrapText="1"/>
    </xf>
    <xf numFmtId="174" fontId="4" fillId="0" borderId="2" xfId="2" applyNumberFormat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justify" vertical="top" wrapText="1"/>
    </xf>
    <xf numFmtId="172" fontId="7" fillId="2" borderId="2" xfId="2" applyNumberFormat="1" applyFont="1" applyFill="1" applyBorder="1" applyAlignment="1">
      <alignment horizontal="center" vertical="top" wrapText="1"/>
    </xf>
    <xf numFmtId="176" fontId="7" fillId="0" borderId="2" xfId="2" applyNumberFormat="1" applyFont="1" applyFill="1" applyBorder="1" applyAlignment="1">
      <alignment horizontal="center" vertical="center" wrapText="1"/>
    </xf>
    <xf numFmtId="176" fontId="4" fillId="0" borderId="2" xfId="2" applyNumberFormat="1" applyFont="1" applyFill="1" applyBorder="1" applyAlignment="1">
      <alignment horizontal="center" vertical="top" wrapText="1"/>
    </xf>
    <xf numFmtId="43" fontId="4" fillId="2" borderId="2" xfId="1" applyNumberFormat="1" applyFont="1" applyFill="1" applyBorder="1" applyAlignment="1">
      <alignment horizontal="center" vertical="top" wrapText="1"/>
    </xf>
    <xf numFmtId="165" fontId="4" fillId="2" borderId="2" xfId="2" applyNumberFormat="1" applyFont="1" applyFill="1" applyBorder="1" applyAlignment="1">
      <alignment horizontal="center" vertical="top" wrapText="1"/>
    </xf>
    <xf numFmtId="165" fontId="5" fillId="0" borderId="2" xfId="2" applyNumberFormat="1" applyFont="1" applyFill="1" applyBorder="1" applyAlignment="1">
      <alignment horizontal="left" vertical="top" wrapText="1"/>
    </xf>
    <xf numFmtId="176" fontId="5" fillId="0" borderId="2" xfId="2" applyNumberFormat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0" borderId="2" xfId="1" applyFont="1" applyBorder="1" applyAlignment="1">
      <alignment horizontal="justify" vertical="top" wrapText="1"/>
    </xf>
    <xf numFmtId="0" fontId="5" fillId="0" borderId="2" xfId="1" applyFont="1" applyFill="1" applyBorder="1" applyAlignment="1">
      <alignment vertical="top" wrapText="1"/>
    </xf>
    <xf numFmtId="0" fontId="4" fillId="0" borderId="5" xfId="1" applyFont="1" applyFill="1" applyBorder="1" applyAlignment="1">
      <alignment horizontal="left" vertical="top" wrapText="1"/>
    </xf>
    <xf numFmtId="0" fontId="6" fillId="0" borderId="5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justify" vertical="top" wrapText="1"/>
    </xf>
    <xf numFmtId="0" fontId="4" fillId="0" borderId="2" xfId="1" applyFont="1" applyBorder="1" applyAlignment="1">
      <alignment horizontal="center" vertical="top" wrapText="1"/>
    </xf>
    <xf numFmtId="43" fontId="4" fillId="3" borderId="2" xfId="2" applyNumberFormat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justify" vertical="top" wrapText="1"/>
    </xf>
    <xf numFmtId="0" fontId="5" fillId="0" borderId="2" xfId="1" applyFont="1" applyBorder="1" applyAlignment="1">
      <alignment horizontal="justify" vertical="top" wrapText="1"/>
    </xf>
    <xf numFmtId="0" fontId="5" fillId="0" borderId="2" xfId="1" applyFont="1" applyFill="1" applyBorder="1" applyAlignment="1">
      <alignment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3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justify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3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left" vertical="top" wrapText="1"/>
    </xf>
    <xf numFmtId="0" fontId="5" fillId="0" borderId="2" xfId="1" applyFont="1" applyBorder="1" applyAlignment="1">
      <alignment vertical="top" wrapText="1"/>
    </xf>
    <xf numFmtId="0" fontId="1" fillId="0" borderId="0" xfId="1" applyFill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7"/>
  <sheetViews>
    <sheetView topLeftCell="A58" workbookViewId="0">
      <selection activeCell="F75" sqref="F75"/>
    </sheetView>
  </sheetViews>
  <sheetFormatPr defaultRowHeight="15" x14ac:dyDescent="0.25"/>
  <cols>
    <col min="1" max="1" width="4" customWidth="1"/>
    <col min="2" max="2" width="21.140625" customWidth="1"/>
    <col min="3" max="3" width="69.140625" customWidth="1"/>
    <col min="4" max="4" width="19.140625" customWidth="1"/>
    <col min="5" max="6" width="18.140625" customWidth="1"/>
    <col min="7" max="7" width="18.85546875" customWidth="1"/>
    <col min="8" max="8" width="18.5703125" customWidth="1"/>
    <col min="9" max="9" width="18.140625" customWidth="1"/>
  </cols>
  <sheetData>
    <row r="1" spans="1:9" ht="39" customHeight="1" x14ac:dyDescent="0.25">
      <c r="A1" s="1"/>
      <c r="B1" s="1"/>
      <c r="C1" s="1"/>
      <c r="D1" s="1"/>
      <c r="E1" s="1"/>
      <c r="F1" s="132" t="s">
        <v>0</v>
      </c>
      <c r="G1" s="132"/>
      <c r="H1" s="132"/>
      <c r="I1" s="132"/>
    </row>
    <row r="2" spans="1:9" ht="89.25" customHeight="1" x14ac:dyDescent="0.25">
      <c r="A2" s="1"/>
      <c r="B2" s="1"/>
      <c r="C2" s="1"/>
      <c r="D2" s="1"/>
      <c r="E2" s="1"/>
      <c r="F2" s="133" t="s">
        <v>1</v>
      </c>
      <c r="G2" s="133"/>
      <c r="H2" s="133"/>
      <c r="I2" s="133"/>
    </row>
    <row r="3" spans="1:9" ht="42" customHeight="1" x14ac:dyDescent="0.25">
      <c r="A3" s="134" t="s">
        <v>2</v>
      </c>
      <c r="B3" s="134"/>
      <c r="C3" s="134"/>
      <c r="D3" s="134"/>
      <c r="E3" s="134"/>
      <c r="F3" s="134"/>
      <c r="G3" s="134"/>
      <c r="H3" s="134"/>
      <c r="I3" s="134"/>
    </row>
    <row r="4" spans="1:9" ht="14.25" customHeight="1" x14ac:dyDescent="0.25">
      <c r="A4" s="135" t="s">
        <v>3</v>
      </c>
      <c r="B4" s="135"/>
      <c r="C4" s="135"/>
      <c r="D4" s="135" t="s">
        <v>4</v>
      </c>
      <c r="E4" s="135"/>
      <c r="F4" s="135"/>
      <c r="G4" s="135"/>
      <c r="H4" s="135"/>
      <c r="I4" s="135"/>
    </row>
    <row r="5" spans="1:9" x14ac:dyDescent="0.25">
      <c r="A5" s="109" t="s">
        <v>5</v>
      </c>
      <c r="B5" s="135" t="s">
        <v>6</v>
      </c>
      <c r="C5" s="135" t="s">
        <v>7</v>
      </c>
      <c r="D5" s="135" t="s">
        <v>8</v>
      </c>
      <c r="E5" s="135" t="s">
        <v>9</v>
      </c>
      <c r="F5" s="135"/>
      <c r="G5" s="135"/>
      <c r="H5" s="135"/>
      <c r="I5" s="135"/>
    </row>
    <row r="6" spans="1:9" x14ac:dyDescent="0.25">
      <c r="A6" s="109"/>
      <c r="B6" s="135"/>
      <c r="C6" s="135"/>
      <c r="D6" s="135"/>
      <c r="E6" s="2" t="s">
        <v>10</v>
      </c>
      <c r="F6" s="3" t="s">
        <v>11</v>
      </c>
      <c r="G6" s="3" t="s">
        <v>12</v>
      </c>
      <c r="H6" s="3" t="s">
        <v>13</v>
      </c>
      <c r="I6" s="3" t="s">
        <v>14</v>
      </c>
    </row>
    <row r="7" spans="1:9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3">
        <v>6</v>
      </c>
      <c r="G7" s="3">
        <v>7</v>
      </c>
      <c r="H7" s="3">
        <v>8</v>
      </c>
      <c r="I7" s="3">
        <v>9</v>
      </c>
    </row>
    <row r="8" spans="1:9" x14ac:dyDescent="0.25">
      <c r="A8" s="110"/>
      <c r="B8" s="131" t="s">
        <v>15</v>
      </c>
      <c r="C8" s="111" t="s">
        <v>16</v>
      </c>
      <c r="D8" s="4" t="s">
        <v>10</v>
      </c>
      <c r="E8" s="5">
        <f>SUM(F8:I8)</f>
        <v>2372465.4818699998</v>
      </c>
      <c r="F8" s="5">
        <f>F9+F10+F11</f>
        <v>652988.75286999997</v>
      </c>
      <c r="G8" s="6">
        <f>G9+G10+G11</f>
        <v>387860</v>
      </c>
      <c r="H8" s="7">
        <f>H9+H10+H11</f>
        <v>734581.84900000005</v>
      </c>
      <c r="I8" s="6">
        <f>I9+I10+I11</f>
        <v>597034.88</v>
      </c>
    </row>
    <row r="9" spans="1:9" ht="30" customHeight="1" x14ac:dyDescent="0.25">
      <c r="A9" s="110"/>
      <c r="B9" s="131"/>
      <c r="C9" s="111"/>
      <c r="D9" s="8" t="s">
        <v>17</v>
      </c>
      <c r="E9" s="9">
        <f>SUM(F9:I9)</f>
        <v>1972708.2177499998</v>
      </c>
      <c r="F9" s="9">
        <f>F14+F60+F77</f>
        <v>416387.87775000004</v>
      </c>
      <c r="G9" s="10">
        <f>G14+G60+G77</f>
        <v>274922.09999999998</v>
      </c>
      <c r="H9" s="10">
        <f>H14+H60+H77</f>
        <v>684363.36</v>
      </c>
      <c r="I9" s="10">
        <f>I14+I60+I77</f>
        <v>597034.88</v>
      </c>
    </row>
    <row r="10" spans="1:9" ht="27.75" customHeight="1" x14ac:dyDescent="0.25">
      <c r="A10" s="110"/>
      <c r="B10" s="131"/>
      <c r="C10" s="111"/>
      <c r="D10" s="8" t="s">
        <v>18</v>
      </c>
      <c r="E10" s="9">
        <f>SUM(F10:I10)</f>
        <v>280239.56011999998</v>
      </c>
      <c r="F10" s="9">
        <f t="shared" ref="F10:I11" si="0">F15+F61</f>
        <v>156206.87511999998</v>
      </c>
      <c r="G10" s="10">
        <f t="shared" si="0"/>
        <v>112937.9</v>
      </c>
      <c r="H10" s="11">
        <f t="shared" si="0"/>
        <v>11094.785</v>
      </c>
      <c r="I10" s="10">
        <f t="shared" si="0"/>
        <v>0</v>
      </c>
    </row>
    <row r="11" spans="1:9" ht="30" customHeight="1" x14ac:dyDescent="0.25">
      <c r="A11" s="110"/>
      <c r="B11" s="131"/>
      <c r="C11" s="111"/>
      <c r="D11" s="8" t="s">
        <v>19</v>
      </c>
      <c r="E11" s="11">
        <f>SUM(F11:I11)</f>
        <v>119517.704</v>
      </c>
      <c r="F11" s="12">
        <f t="shared" si="0"/>
        <v>80394</v>
      </c>
      <c r="G11" s="12">
        <f t="shared" si="0"/>
        <v>0</v>
      </c>
      <c r="H11" s="97">
        <f t="shared" si="0"/>
        <v>39123.703999999998</v>
      </c>
      <c r="I11" s="97">
        <f t="shared" si="0"/>
        <v>0</v>
      </c>
    </row>
    <row r="12" spans="1:9" hidden="1" x14ac:dyDescent="0.25">
      <c r="A12" s="13"/>
      <c r="B12" s="14"/>
      <c r="C12" s="15"/>
      <c r="D12" s="15"/>
      <c r="E12" s="16"/>
      <c r="F12" s="17"/>
      <c r="G12" s="17"/>
      <c r="H12" s="17"/>
      <c r="I12" s="17"/>
    </row>
    <row r="13" spans="1:9" x14ac:dyDescent="0.25">
      <c r="A13" s="109"/>
      <c r="B13" s="131" t="s">
        <v>20</v>
      </c>
      <c r="C13" s="111" t="s">
        <v>21</v>
      </c>
      <c r="D13" s="4" t="s">
        <v>10</v>
      </c>
      <c r="E13" s="18">
        <f t="shared" ref="E13:E84" si="1">SUM(F13:I13)</f>
        <v>1321970.9078699998</v>
      </c>
      <c r="F13" s="19">
        <f>F14+F15+F16</f>
        <v>470342.42887</v>
      </c>
      <c r="G13" s="20">
        <f>G14+G15+G16</f>
        <v>297928.89999999997</v>
      </c>
      <c r="H13" s="21">
        <f>H14+H15+H16</f>
        <v>450253.17899999989</v>
      </c>
      <c r="I13" s="20">
        <f>I14+I15+I16</f>
        <v>103446.39999999999</v>
      </c>
    </row>
    <row r="14" spans="1:9" ht="30.75" customHeight="1" x14ac:dyDescent="0.25">
      <c r="A14" s="109"/>
      <c r="B14" s="131"/>
      <c r="C14" s="111"/>
      <c r="D14" s="22" t="s">
        <v>17</v>
      </c>
      <c r="E14" s="18">
        <f t="shared" si="1"/>
        <v>946670.70774999994</v>
      </c>
      <c r="F14" s="19">
        <f>F17+F18+F20+F24+F26+F27+F28+F30+F31+F32+F34+F37+F39+F40+F41+F45+F46+F47+F48+F49+F50+F51+F52+F53+F54+F55+F56+F57</f>
        <v>258198.61775000003</v>
      </c>
      <c r="G14" s="20">
        <f>G17+G18+G20+G26+G27+G28+G30+G31+G32+G34+G37+G39+G40+G41+G45+G53+G54+G55+G52+G51+G50+G49+G48+G47+G46+G24+G56+G57+G58</f>
        <v>184990.99999999997</v>
      </c>
      <c r="H14" s="20">
        <f>H17+H18+H20+H26+H27+H28+H30+H31+H32+H34+H37+H39+H40+H41+H45+H53+H54+H55+H52+H51+H50+H49+H48+H47+H46+H24+H56+H57+H58</f>
        <v>400034.68999999994</v>
      </c>
      <c r="I14" s="20">
        <f>I17+I18+I20+I26+I27+I28+I30+I31+I32+I34+I37+I39+I40+I41+I45+I53+I54+I55+I52+I51+I50+I49+I48+I47+I46+I24+I56+I57+I58</f>
        <v>103446.39999999999</v>
      </c>
    </row>
    <row r="15" spans="1:9" ht="41.25" customHeight="1" x14ac:dyDescent="0.25">
      <c r="A15" s="109"/>
      <c r="B15" s="131"/>
      <c r="C15" s="111"/>
      <c r="D15" s="22" t="s">
        <v>18</v>
      </c>
      <c r="E15" s="18">
        <f t="shared" si="1"/>
        <v>272782.49611999997</v>
      </c>
      <c r="F15" s="19">
        <f>F21+F35+F38+F43</f>
        <v>148749.81111999997</v>
      </c>
      <c r="G15" s="20">
        <f>G43+G35+G38+G21</f>
        <v>112937.9</v>
      </c>
      <c r="H15" s="21">
        <f>H43+H35+H38+H21</f>
        <v>11094.785</v>
      </c>
      <c r="I15" s="20">
        <f>I43+I35+I38+I21</f>
        <v>0</v>
      </c>
    </row>
    <row r="16" spans="1:9" ht="27" customHeight="1" x14ac:dyDescent="0.25">
      <c r="A16" s="109"/>
      <c r="B16" s="131"/>
      <c r="C16" s="111"/>
      <c r="D16" s="22" t="s">
        <v>19</v>
      </c>
      <c r="E16" s="23">
        <f t="shared" si="1"/>
        <v>102517.704</v>
      </c>
      <c r="F16" s="20">
        <f>F44+F22+F25</f>
        <v>63394</v>
      </c>
      <c r="G16" s="20">
        <f>G44+G22+G25</f>
        <v>0</v>
      </c>
      <c r="H16" s="20">
        <f>H44+H22+H25</f>
        <v>39123.703999999998</v>
      </c>
      <c r="I16" s="20">
        <f>I44+I22+I25</f>
        <v>0</v>
      </c>
    </row>
    <row r="17" spans="1:9" ht="30.75" customHeight="1" x14ac:dyDescent="0.25">
      <c r="A17" s="24"/>
      <c r="B17" s="25"/>
      <c r="C17" s="8" t="s">
        <v>22</v>
      </c>
      <c r="D17" s="8" t="s">
        <v>23</v>
      </c>
      <c r="E17" s="26">
        <f t="shared" si="1"/>
        <v>6235.74</v>
      </c>
      <c r="F17" s="27">
        <f>20689.8-14419.8-34.26</f>
        <v>6235.74</v>
      </c>
      <c r="G17" s="28">
        <v>0</v>
      </c>
      <c r="H17" s="28">
        <v>0</v>
      </c>
      <c r="I17" s="28">
        <v>0</v>
      </c>
    </row>
    <row r="18" spans="1:9" ht="30.75" customHeight="1" x14ac:dyDescent="0.25">
      <c r="A18" s="24"/>
      <c r="B18" s="25"/>
      <c r="C18" s="8" t="s">
        <v>24</v>
      </c>
      <c r="D18" s="8" t="s">
        <v>23</v>
      </c>
      <c r="E18" s="26">
        <f t="shared" si="1"/>
        <v>2966.94</v>
      </c>
      <c r="F18" s="27">
        <f>3000-33.06</f>
        <v>2966.94</v>
      </c>
      <c r="G18" s="28">
        <v>0</v>
      </c>
      <c r="H18" s="28">
        <v>0</v>
      </c>
      <c r="I18" s="28">
        <v>0</v>
      </c>
    </row>
    <row r="19" spans="1:9" x14ac:dyDescent="0.25">
      <c r="A19" s="112"/>
      <c r="B19" s="112"/>
      <c r="C19" s="115" t="s">
        <v>25</v>
      </c>
      <c r="D19" s="29" t="s">
        <v>26</v>
      </c>
      <c r="E19" s="30">
        <f t="shared" si="1"/>
        <v>184301.74</v>
      </c>
      <c r="F19" s="31">
        <f>F20+F22+F21</f>
        <v>52440.049999999996</v>
      </c>
      <c r="G19" s="31">
        <f>G20+G22+G21</f>
        <v>75000</v>
      </c>
      <c r="H19" s="31">
        <f>H20+H22+H21</f>
        <v>56861.69</v>
      </c>
      <c r="I19" s="32">
        <f>I20+I22</f>
        <v>0</v>
      </c>
    </row>
    <row r="20" spans="1:9" ht="29.25" customHeight="1" x14ac:dyDescent="0.25">
      <c r="A20" s="113"/>
      <c r="B20" s="113"/>
      <c r="C20" s="116"/>
      <c r="D20" s="8" t="s">
        <v>23</v>
      </c>
      <c r="E20" s="33">
        <f t="shared" si="1"/>
        <v>150155.64000000001</v>
      </c>
      <c r="F20" s="27">
        <f>3000+1000+2000+2000+2000+12440.05-4146.1</f>
        <v>18293.949999999997</v>
      </c>
      <c r="G20" s="28">
        <f>380232-320232+15000</f>
        <v>75000</v>
      </c>
      <c r="H20" s="27">
        <f>311231-257151.47+17782.16-15000</f>
        <v>56861.69</v>
      </c>
      <c r="I20" s="28"/>
    </row>
    <row r="21" spans="1:9" ht="30.75" customHeight="1" x14ac:dyDescent="0.25">
      <c r="A21" s="113"/>
      <c r="B21" s="113"/>
      <c r="C21" s="116"/>
      <c r="D21" s="8" t="s">
        <v>18</v>
      </c>
      <c r="E21" s="33">
        <f t="shared" si="1"/>
        <v>10000</v>
      </c>
      <c r="F21" s="27">
        <v>10000</v>
      </c>
      <c r="G21" s="28">
        <v>0</v>
      </c>
      <c r="H21" s="28">
        <v>0</v>
      </c>
      <c r="I21" s="28">
        <v>0</v>
      </c>
    </row>
    <row r="22" spans="1:9" ht="27.75" customHeight="1" x14ac:dyDescent="0.25">
      <c r="A22" s="114"/>
      <c r="B22" s="114"/>
      <c r="C22" s="117"/>
      <c r="D22" s="8" t="s">
        <v>19</v>
      </c>
      <c r="E22" s="34">
        <f t="shared" si="1"/>
        <v>24146.1</v>
      </c>
      <c r="F22" s="28">
        <f>20000+4146.1</f>
        <v>24146.1</v>
      </c>
      <c r="G22" s="28">
        <v>0</v>
      </c>
      <c r="H22" s="28">
        <v>0</v>
      </c>
      <c r="I22" s="28">
        <v>0</v>
      </c>
    </row>
    <row r="23" spans="1:9" x14ac:dyDescent="0.25">
      <c r="A23" s="112"/>
      <c r="B23" s="112"/>
      <c r="C23" s="115" t="s">
        <v>27</v>
      </c>
      <c r="D23" s="29" t="s">
        <v>26</v>
      </c>
      <c r="E23" s="30">
        <f t="shared" si="1"/>
        <v>43394</v>
      </c>
      <c r="F23" s="35">
        <f>SUM(F24:F25)</f>
        <v>43394</v>
      </c>
      <c r="G23" s="35">
        <f>SUM(G24:G25)</f>
        <v>0</v>
      </c>
      <c r="H23" s="35">
        <f>SUM(H24:H25)</f>
        <v>0</v>
      </c>
      <c r="I23" s="35">
        <f>SUM(I24:I25)</f>
        <v>0</v>
      </c>
    </row>
    <row r="24" spans="1:9" ht="30" customHeight="1" x14ac:dyDescent="0.25">
      <c r="A24" s="113"/>
      <c r="B24" s="113"/>
      <c r="C24" s="116"/>
      <c r="D24" s="8" t="s">
        <v>23</v>
      </c>
      <c r="E24" s="34">
        <f t="shared" si="1"/>
        <v>4146.1000000000004</v>
      </c>
      <c r="F24" s="28">
        <f>4146.1</f>
        <v>4146.1000000000004</v>
      </c>
      <c r="G24" s="28"/>
      <c r="H24" s="28"/>
      <c r="I24" s="28"/>
    </row>
    <row r="25" spans="1:9" ht="28.5" customHeight="1" x14ac:dyDescent="0.25">
      <c r="A25" s="114"/>
      <c r="B25" s="114"/>
      <c r="C25" s="117"/>
      <c r="D25" s="8" t="s">
        <v>19</v>
      </c>
      <c r="E25" s="34">
        <f t="shared" si="1"/>
        <v>39247.9</v>
      </c>
      <c r="F25" s="27">
        <f>43393.8+0.2-4146.1</f>
        <v>39247.9</v>
      </c>
      <c r="G25" s="28">
        <v>0</v>
      </c>
      <c r="H25" s="28">
        <v>0</v>
      </c>
      <c r="I25" s="28">
        <v>0</v>
      </c>
    </row>
    <row r="26" spans="1:9" ht="31.5" customHeight="1" x14ac:dyDescent="0.25">
      <c r="A26" s="36"/>
      <c r="B26" s="8"/>
      <c r="C26" s="8" t="s">
        <v>28</v>
      </c>
      <c r="D26" s="8" t="s">
        <v>23</v>
      </c>
      <c r="E26" s="33">
        <f t="shared" si="1"/>
        <v>3034.92</v>
      </c>
      <c r="F26" s="27">
        <f>3788.5-467.48-150-71.1-65</f>
        <v>3034.92</v>
      </c>
      <c r="G26" s="28">
        <v>0</v>
      </c>
      <c r="H26" s="28">
        <v>0</v>
      </c>
      <c r="I26" s="28">
        <v>0</v>
      </c>
    </row>
    <row r="27" spans="1:9" ht="31.5" customHeight="1" x14ac:dyDescent="0.25">
      <c r="A27" s="36"/>
      <c r="B27" s="8"/>
      <c r="C27" s="8" t="s">
        <v>29</v>
      </c>
      <c r="D27" s="8" t="s">
        <v>23</v>
      </c>
      <c r="E27" s="37">
        <f t="shared" si="1"/>
        <v>3821.35</v>
      </c>
      <c r="F27" s="27">
        <f>4470.2-445.5-203.35</f>
        <v>3821.35</v>
      </c>
      <c r="G27" s="28"/>
      <c r="H27" s="28"/>
      <c r="I27" s="28"/>
    </row>
    <row r="28" spans="1:9" ht="30.75" customHeight="1" x14ac:dyDescent="0.25">
      <c r="A28" s="36"/>
      <c r="B28" s="8"/>
      <c r="C28" s="8" t="s">
        <v>30</v>
      </c>
      <c r="D28" s="8" t="s">
        <v>23</v>
      </c>
      <c r="E28" s="37">
        <f t="shared" si="1"/>
        <v>1779.7199999999998</v>
      </c>
      <c r="F28" s="38">
        <f>4717-2000-770.61-98-68.67</f>
        <v>1779.7199999999998</v>
      </c>
      <c r="G28" s="28"/>
      <c r="H28" s="28"/>
      <c r="I28" s="28"/>
    </row>
    <row r="29" spans="1:9" ht="29.25" hidden="1" customHeight="1" x14ac:dyDescent="0.25">
      <c r="A29" s="36"/>
      <c r="B29" s="8"/>
      <c r="C29" s="8" t="s">
        <v>31</v>
      </c>
      <c r="D29" s="8" t="s">
        <v>23</v>
      </c>
      <c r="E29" s="37">
        <f t="shared" si="1"/>
        <v>0</v>
      </c>
      <c r="F29" s="38">
        <f>3500-3500</f>
        <v>0</v>
      </c>
      <c r="G29" s="28"/>
      <c r="H29" s="28"/>
      <c r="I29" s="28"/>
    </row>
    <row r="30" spans="1:9" ht="27.75" customHeight="1" x14ac:dyDescent="0.25">
      <c r="A30" s="36"/>
      <c r="B30" s="8"/>
      <c r="C30" s="8" t="s">
        <v>32</v>
      </c>
      <c r="D30" s="8" t="s">
        <v>23</v>
      </c>
      <c r="E30" s="37">
        <f t="shared" si="1"/>
        <v>2352.63</v>
      </c>
      <c r="F30" s="38">
        <f>2421-68.37</f>
        <v>2352.63</v>
      </c>
      <c r="G30" s="28"/>
      <c r="H30" s="28"/>
      <c r="I30" s="28"/>
    </row>
    <row r="31" spans="1:9" ht="28.5" customHeight="1" x14ac:dyDescent="0.25">
      <c r="A31" s="36"/>
      <c r="B31" s="8"/>
      <c r="C31" s="8" t="s">
        <v>33</v>
      </c>
      <c r="D31" s="8" t="s">
        <v>23</v>
      </c>
      <c r="E31" s="37">
        <f t="shared" si="1"/>
        <v>17739.400000000001</v>
      </c>
      <c r="F31" s="38">
        <f>22739.4-5000</f>
        <v>17739.400000000001</v>
      </c>
      <c r="G31" s="28"/>
      <c r="H31" s="39"/>
      <c r="I31" s="39"/>
    </row>
    <row r="32" spans="1:9" ht="28.5" customHeight="1" x14ac:dyDescent="0.25">
      <c r="A32" s="36"/>
      <c r="B32" s="8"/>
      <c r="C32" s="8" t="s">
        <v>34</v>
      </c>
      <c r="D32" s="8" t="s">
        <v>23</v>
      </c>
      <c r="E32" s="34">
        <f t="shared" si="1"/>
        <v>169632.1</v>
      </c>
      <c r="F32" s="28">
        <f>39482.1+20000+150+40000+5000+25000</f>
        <v>129632.1</v>
      </c>
      <c r="G32" s="28">
        <f>100000-20000-40000</f>
        <v>40000</v>
      </c>
      <c r="H32" s="39">
        <v>0</v>
      </c>
      <c r="I32" s="39">
        <v>0</v>
      </c>
    </row>
    <row r="33" spans="1:9" x14ac:dyDescent="0.25">
      <c r="A33" s="122"/>
      <c r="B33" s="122"/>
      <c r="C33" s="115" t="s">
        <v>35</v>
      </c>
      <c r="D33" s="29" t="s">
        <v>26</v>
      </c>
      <c r="E33" s="40">
        <f t="shared" si="1"/>
        <v>95155.579999999987</v>
      </c>
      <c r="F33" s="31">
        <f>F34+F35</f>
        <v>51574.68</v>
      </c>
      <c r="G33" s="31">
        <f>G34+G35</f>
        <v>43580.899999999994</v>
      </c>
      <c r="H33" s="41">
        <f>H34+H35</f>
        <v>0</v>
      </c>
      <c r="I33" s="41">
        <f>I34+I35</f>
        <v>0</v>
      </c>
    </row>
    <row r="34" spans="1:9" ht="30.75" customHeight="1" x14ac:dyDescent="0.25">
      <c r="A34" s="123"/>
      <c r="B34" s="123"/>
      <c r="C34" s="116"/>
      <c r="D34" s="8" t="s">
        <v>23</v>
      </c>
      <c r="E34" s="42">
        <f t="shared" si="1"/>
        <v>34197.78</v>
      </c>
      <c r="F34" s="43">
        <f>36641-3333.885-3065.71-1535-8515.925</f>
        <v>20190.48</v>
      </c>
      <c r="G34" s="43">
        <v>14007.3</v>
      </c>
      <c r="H34" s="44">
        <v>0</v>
      </c>
      <c r="I34" s="44">
        <v>0</v>
      </c>
    </row>
    <row r="35" spans="1:9" ht="29.25" customHeight="1" x14ac:dyDescent="0.25">
      <c r="A35" s="124"/>
      <c r="B35" s="124"/>
      <c r="C35" s="117"/>
      <c r="D35" s="8" t="s">
        <v>18</v>
      </c>
      <c r="E35" s="42">
        <f>SUM(F35:I35)</f>
        <v>60957.8</v>
      </c>
      <c r="F35" s="43">
        <v>31384.2</v>
      </c>
      <c r="G35" s="43">
        <v>29573.599999999999</v>
      </c>
      <c r="H35" s="44">
        <v>0</v>
      </c>
      <c r="I35" s="44">
        <v>0</v>
      </c>
    </row>
    <row r="36" spans="1:9" x14ac:dyDescent="0.25">
      <c r="A36" s="122"/>
      <c r="B36" s="122"/>
      <c r="C36" s="115" t="s">
        <v>36</v>
      </c>
      <c r="D36" s="45" t="s">
        <v>26</v>
      </c>
      <c r="E36" s="40">
        <f t="shared" si="1"/>
        <v>95649.540000000008</v>
      </c>
      <c r="F36" s="31">
        <f>F37+F38</f>
        <v>53162.74</v>
      </c>
      <c r="G36" s="31">
        <f>G37+G38</f>
        <v>42486.8</v>
      </c>
      <c r="H36" s="32">
        <f>H37+H38</f>
        <v>0</v>
      </c>
      <c r="I36" s="32">
        <f>I37+I38</f>
        <v>0</v>
      </c>
    </row>
    <row r="37" spans="1:9" ht="30" customHeight="1" x14ac:dyDescent="0.25">
      <c r="A37" s="123"/>
      <c r="B37" s="123"/>
      <c r="C37" s="116"/>
      <c r="D37" s="8" t="s">
        <v>23</v>
      </c>
      <c r="E37" s="42">
        <f t="shared" si="1"/>
        <v>36230.239999999998</v>
      </c>
      <c r="F37" s="43">
        <f>29561.5+3203.3-12194.16+2000</f>
        <v>22570.639999999999</v>
      </c>
      <c r="G37" s="43">
        <v>13659.6</v>
      </c>
      <c r="H37" s="46">
        <v>0</v>
      </c>
      <c r="I37" s="46">
        <v>0</v>
      </c>
    </row>
    <row r="38" spans="1:9" ht="31.5" customHeight="1" x14ac:dyDescent="0.25">
      <c r="A38" s="124"/>
      <c r="B38" s="124"/>
      <c r="C38" s="117"/>
      <c r="D38" s="8" t="s">
        <v>18</v>
      </c>
      <c r="E38" s="42">
        <f t="shared" si="1"/>
        <v>59419.3</v>
      </c>
      <c r="F38" s="43">
        <v>30592.1</v>
      </c>
      <c r="G38" s="43">
        <v>28827.200000000001</v>
      </c>
      <c r="H38" s="46">
        <v>0</v>
      </c>
      <c r="I38" s="46">
        <v>0</v>
      </c>
    </row>
    <row r="39" spans="1:9" ht="29.25" customHeight="1" x14ac:dyDescent="0.25">
      <c r="A39" s="36"/>
      <c r="B39" s="8"/>
      <c r="C39" s="8" t="s">
        <v>37</v>
      </c>
      <c r="D39" s="8" t="s">
        <v>23</v>
      </c>
      <c r="E39" s="33">
        <f t="shared" si="1"/>
        <v>288688.5</v>
      </c>
      <c r="F39" s="28">
        <f>1977.3+56000-56000-1977.3</f>
        <v>2.9558577807620168E-12</v>
      </c>
      <c r="G39" s="28">
        <f>288688.5-140000-32688.5+32688.5-118688.5</f>
        <v>30000</v>
      </c>
      <c r="H39" s="27">
        <f>140000-43311.51+43311.51+118688.5</f>
        <v>258688.5</v>
      </c>
      <c r="I39" s="28"/>
    </row>
    <row r="40" spans="1:9" ht="33.75" customHeight="1" x14ac:dyDescent="0.25">
      <c r="A40" s="36"/>
      <c r="B40" s="8"/>
      <c r="C40" s="8" t="s">
        <v>38</v>
      </c>
      <c r="D40" s="8" t="s">
        <v>23</v>
      </c>
      <c r="E40" s="47">
        <f t="shared" si="1"/>
        <v>7845.7170000000006</v>
      </c>
      <c r="F40" s="48">
        <f>7328.7+1500-982.983</f>
        <v>7845.7170000000006</v>
      </c>
      <c r="G40" s="28">
        <v>0</v>
      </c>
      <c r="H40" s="28">
        <v>0</v>
      </c>
      <c r="I40" s="28">
        <v>0</v>
      </c>
    </row>
    <row r="41" spans="1:9" ht="33.75" customHeight="1" x14ac:dyDescent="0.25">
      <c r="A41" s="36"/>
      <c r="B41" s="8"/>
      <c r="C41" s="8" t="s">
        <v>39</v>
      </c>
      <c r="D41" s="8" t="s">
        <v>23</v>
      </c>
      <c r="E41" s="33">
        <f t="shared" si="1"/>
        <v>17125.12</v>
      </c>
      <c r="F41" s="27">
        <f>14969.5-5006.1+5500+1683.59-21.87</f>
        <v>17125.12</v>
      </c>
      <c r="G41" s="28">
        <v>0</v>
      </c>
      <c r="H41" s="28">
        <v>0</v>
      </c>
      <c r="I41" s="28">
        <v>0</v>
      </c>
    </row>
    <row r="42" spans="1:9" x14ac:dyDescent="0.25">
      <c r="A42" s="121"/>
      <c r="B42" s="122"/>
      <c r="C42" s="115" t="s">
        <v>40</v>
      </c>
      <c r="D42" s="45" t="s">
        <v>26</v>
      </c>
      <c r="E42" s="49">
        <f t="shared" si="1"/>
        <v>181947.47586999999</v>
      </c>
      <c r="F42" s="93">
        <f>F43+F44+F45</f>
        <v>77191.886870000002</v>
      </c>
      <c r="G42" s="51">
        <f>G43+G44+G45</f>
        <v>54537.1</v>
      </c>
      <c r="H42" s="52">
        <f>H43+H44+H45</f>
        <v>50218.489000000001</v>
      </c>
      <c r="I42" s="35">
        <f>I43+I44+I45</f>
        <v>0</v>
      </c>
    </row>
    <row r="43" spans="1:9" ht="30" customHeight="1" x14ac:dyDescent="0.25">
      <c r="A43" s="121"/>
      <c r="B43" s="123"/>
      <c r="C43" s="116"/>
      <c r="D43" s="8" t="s">
        <v>41</v>
      </c>
      <c r="E43" s="53">
        <f t="shared" si="1"/>
        <v>142405.39611999999</v>
      </c>
      <c r="F43" s="54">
        <v>76773.511119999996</v>
      </c>
      <c r="G43" s="57">
        <v>54537.1</v>
      </c>
      <c r="H43" s="55">
        <v>11094.785</v>
      </c>
      <c r="I43" s="28">
        <v>0</v>
      </c>
    </row>
    <row r="44" spans="1:9" ht="31.5" customHeight="1" x14ac:dyDescent="0.25">
      <c r="A44" s="121"/>
      <c r="B44" s="123"/>
      <c r="C44" s="116"/>
      <c r="D44" s="8" t="s">
        <v>19</v>
      </c>
      <c r="E44" s="91">
        <f t="shared" si="1"/>
        <v>39123.703999999998</v>
      </c>
      <c r="F44" s="56">
        <f>9585.765-3195.255-6390.51</f>
        <v>0</v>
      </c>
      <c r="G44" s="57">
        <v>0</v>
      </c>
      <c r="H44" s="55">
        <v>39123.703999999998</v>
      </c>
      <c r="I44" s="28"/>
    </row>
    <row r="45" spans="1:9" ht="30" customHeight="1" x14ac:dyDescent="0.25">
      <c r="A45" s="36"/>
      <c r="B45" s="124"/>
      <c r="C45" s="117"/>
      <c r="D45" s="8" t="s">
        <v>23</v>
      </c>
      <c r="E45" s="53">
        <f t="shared" si="1"/>
        <v>418.37574999999998</v>
      </c>
      <c r="F45" s="54">
        <v>418.37574999999998</v>
      </c>
      <c r="G45" s="28">
        <v>0</v>
      </c>
      <c r="H45" s="28">
        <v>0</v>
      </c>
      <c r="I45" s="28">
        <v>0</v>
      </c>
    </row>
    <row r="46" spans="1:9" ht="30.75" customHeight="1" x14ac:dyDescent="0.25">
      <c r="A46" s="24"/>
      <c r="B46" s="25"/>
      <c r="C46" s="8" t="s">
        <v>42</v>
      </c>
      <c r="D46" s="8" t="s">
        <v>23</v>
      </c>
      <c r="E46" s="33">
        <f t="shared" si="1"/>
        <v>1909.9</v>
      </c>
      <c r="F46" s="27">
        <v>0</v>
      </c>
      <c r="G46" s="27">
        <v>1909.9</v>
      </c>
      <c r="H46" s="58">
        <v>0</v>
      </c>
      <c r="I46" s="58">
        <v>0</v>
      </c>
    </row>
    <row r="47" spans="1:9" ht="29.25" customHeight="1" x14ac:dyDescent="0.25">
      <c r="A47" s="24"/>
      <c r="B47" s="25"/>
      <c r="C47" s="8" t="s">
        <v>43</v>
      </c>
      <c r="D47" s="8" t="s">
        <v>23</v>
      </c>
      <c r="E47" s="33">
        <f t="shared" si="1"/>
        <v>41542.199999999997</v>
      </c>
      <c r="F47" s="27">
        <v>0</v>
      </c>
      <c r="G47" s="27">
        <v>0</v>
      </c>
      <c r="H47" s="27">
        <f>31542.2</f>
        <v>31542.2</v>
      </c>
      <c r="I47" s="27">
        <v>10000</v>
      </c>
    </row>
    <row r="48" spans="1:9" ht="32.25" customHeight="1" x14ac:dyDescent="0.25">
      <c r="A48" s="24"/>
      <c r="B48" s="25"/>
      <c r="C48" s="8" t="s">
        <v>44</v>
      </c>
      <c r="D48" s="8" t="s">
        <v>23</v>
      </c>
      <c r="E48" s="33">
        <f t="shared" si="1"/>
        <v>31267.599999999999</v>
      </c>
      <c r="F48" s="27">
        <v>0</v>
      </c>
      <c r="G48" s="27">
        <v>0</v>
      </c>
      <c r="H48" s="27">
        <v>21267.599999999999</v>
      </c>
      <c r="I48" s="27">
        <v>10000</v>
      </c>
    </row>
    <row r="49" spans="1:9" ht="32.25" customHeight="1" x14ac:dyDescent="0.25">
      <c r="A49" s="24"/>
      <c r="B49" s="25"/>
      <c r="C49" s="59" t="s">
        <v>45</v>
      </c>
      <c r="D49" s="8" t="s">
        <v>23</v>
      </c>
      <c r="E49" s="33">
        <f t="shared" si="1"/>
        <v>15285</v>
      </c>
      <c r="F49" s="27">
        <v>0</v>
      </c>
      <c r="G49" s="27">
        <f>13396.4-13396.4</f>
        <v>0</v>
      </c>
      <c r="H49" s="27">
        <v>1888.6</v>
      </c>
      <c r="I49" s="27">
        <v>13396.4</v>
      </c>
    </row>
    <row r="50" spans="1:9" ht="29.25" customHeight="1" x14ac:dyDescent="0.25">
      <c r="A50" s="24"/>
      <c r="B50" s="25"/>
      <c r="C50" s="8" t="s">
        <v>46</v>
      </c>
      <c r="D50" s="8" t="s">
        <v>23</v>
      </c>
      <c r="E50" s="33">
        <f t="shared" si="1"/>
        <v>38488.800000000003</v>
      </c>
      <c r="F50" s="27">
        <v>0</v>
      </c>
      <c r="G50" s="27">
        <f>20000-20000</f>
        <v>0</v>
      </c>
      <c r="H50" s="27">
        <v>18488.8</v>
      </c>
      <c r="I50" s="27">
        <v>20000</v>
      </c>
    </row>
    <row r="51" spans="1:9" ht="29.25" customHeight="1" x14ac:dyDescent="0.25">
      <c r="A51" s="24"/>
      <c r="B51" s="25"/>
      <c r="C51" s="8" t="s">
        <v>47</v>
      </c>
      <c r="D51" s="8" t="s">
        <v>23</v>
      </c>
      <c r="E51" s="33">
        <f t="shared" si="1"/>
        <v>2757.7</v>
      </c>
      <c r="F51" s="27">
        <v>0</v>
      </c>
      <c r="G51" s="27">
        <f>2757.7-2757.7</f>
        <v>0</v>
      </c>
      <c r="H51" s="27">
        <v>2757.7</v>
      </c>
      <c r="I51" s="27"/>
    </row>
    <row r="52" spans="1:9" ht="30.75" customHeight="1" x14ac:dyDescent="0.25">
      <c r="A52" s="24"/>
      <c r="B52" s="25"/>
      <c r="C52" s="8" t="s">
        <v>48</v>
      </c>
      <c r="D52" s="8" t="s">
        <v>23</v>
      </c>
      <c r="E52" s="42">
        <f t="shared" si="1"/>
        <v>8539.6</v>
      </c>
      <c r="F52" s="43">
        <v>0</v>
      </c>
      <c r="G52" s="43">
        <v>0</v>
      </c>
      <c r="H52" s="43">
        <v>8539.6</v>
      </c>
      <c r="I52" s="43">
        <v>0</v>
      </c>
    </row>
    <row r="53" spans="1:9" ht="29.25" customHeight="1" x14ac:dyDescent="0.25">
      <c r="A53" s="24"/>
      <c r="B53" s="25"/>
      <c r="C53" s="8" t="s">
        <v>49</v>
      </c>
      <c r="D53" s="8" t="s">
        <v>23</v>
      </c>
      <c r="E53" s="42">
        <f t="shared" si="1"/>
        <v>3003.4</v>
      </c>
      <c r="F53" s="43">
        <f>3065.71-50+50-3003.33-62.38</f>
        <v>1.0658141036401503E-13</v>
      </c>
      <c r="G53" s="43">
        <v>3003.4</v>
      </c>
      <c r="H53" s="43">
        <v>0</v>
      </c>
      <c r="I53" s="43">
        <v>0</v>
      </c>
    </row>
    <row r="54" spans="1:9" ht="30.75" customHeight="1" x14ac:dyDescent="0.25">
      <c r="A54" s="24"/>
      <c r="B54" s="25"/>
      <c r="C54" s="8" t="s">
        <v>50</v>
      </c>
      <c r="D54" s="8" t="s">
        <v>23</v>
      </c>
      <c r="E54" s="60">
        <f t="shared" si="1"/>
        <v>45.435000000000002</v>
      </c>
      <c r="F54" s="61">
        <f>50+50-54.565</f>
        <v>45.435000000000002</v>
      </c>
      <c r="G54" s="43">
        <v>0</v>
      </c>
      <c r="H54" s="43">
        <v>0</v>
      </c>
      <c r="I54" s="43">
        <v>0</v>
      </c>
    </row>
    <row r="55" spans="1:9" ht="30" customHeight="1" x14ac:dyDescent="0.25">
      <c r="A55" s="24"/>
      <c r="B55" s="25"/>
      <c r="C55" s="62" t="s">
        <v>51</v>
      </c>
      <c r="D55" s="62" t="s">
        <v>23</v>
      </c>
      <c r="E55" s="43">
        <f t="shared" si="1"/>
        <v>50050</v>
      </c>
      <c r="F55" s="43">
        <v>0</v>
      </c>
      <c r="G55" s="43">
        <v>0</v>
      </c>
      <c r="H55" s="43">
        <f>50050-50050</f>
        <v>0</v>
      </c>
      <c r="I55" s="43">
        <v>50050</v>
      </c>
    </row>
    <row r="56" spans="1:9" ht="59.25" customHeight="1" x14ac:dyDescent="0.25">
      <c r="A56" s="63"/>
      <c r="B56" s="64"/>
      <c r="C56" s="65" t="s">
        <v>52</v>
      </c>
      <c r="D56" s="62" t="s">
        <v>23</v>
      </c>
      <c r="E56" s="43">
        <f t="shared" si="1"/>
        <v>5600</v>
      </c>
      <c r="F56" s="43">
        <f>5600-5600</f>
        <v>0</v>
      </c>
      <c r="G56" s="43">
        <f>5600</f>
        <v>5600</v>
      </c>
      <c r="H56" s="43">
        <v>0</v>
      </c>
      <c r="I56" s="43">
        <v>0</v>
      </c>
    </row>
    <row r="57" spans="1:9" ht="27.75" customHeight="1" x14ac:dyDescent="0.25">
      <c r="A57" s="63"/>
      <c r="B57" s="64"/>
      <c r="C57" s="65" t="s">
        <v>53</v>
      </c>
      <c r="D57" s="62" t="s">
        <v>23</v>
      </c>
      <c r="E57" s="43">
        <f t="shared" si="1"/>
        <v>1200</v>
      </c>
      <c r="F57" s="43">
        <f>98-98</f>
        <v>0</v>
      </c>
      <c r="G57" s="43">
        <f>8200-7000</f>
        <v>1200</v>
      </c>
      <c r="H57" s="43">
        <f>7700-7700</f>
        <v>0</v>
      </c>
      <c r="I57" s="43">
        <v>0</v>
      </c>
    </row>
    <row r="58" spans="1:9" ht="32.25" customHeight="1" x14ac:dyDescent="0.25">
      <c r="A58" s="63"/>
      <c r="B58" s="64"/>
      <c r="C58" s="65" t="s">
        <v>54</v>
      </c>
      <c r="D58" s="62" t="s">
        <v>23</v>
      </c>
      <c r="E58" s="43">
        <f t="shared" si="1"/>
        <v>610.79999999999995</v>
      </c>
      <c r="F58" s="43">
        <v>0</v>
      </c>
      <c r="G58" s="43">
        <v>610.79999999999995</v>
      </c>
      <c r="H58" s="43">
        <v>0</v>
      </c>
      <c r="I58" s="43">
        <v>0</v>
      </c>
    </row>
    <row r="59" spans="1:9" x14ac:dyDescent="0.25">
      <c r="A59" s="112"/>
      <c r="B59" s="125" t="s">
        <v>55</v>
      </c>
      <c r="C59" s="128" t="s">
        <v>56</v>
      </c>
      <c r="D59" s="4" t="s">
        <v>10</v>
      </c>
      <c r="E59" s="99">
        <f t="shared" si="1"/>
        <v>887932.90399999998</v>
      </c>
      <c r="F59" s="80">
        <f>F60+F61+F62</f>
        <v>145800.75399999996</v>
      </c>
      <c r="G59" s="66">
        <f>G60+G61+G62</f>
        <v>52105.1</v>
      </c>
      <c r="H59" s="66">
        <f>H60+H61+H62</f>
        <v>237543.77</v>
      </c>
      <c r="I59" s="66">
        <f>I60+I61+I62</f>
        <v>452483.28</v>
      </c>
    </row>
    <row r="60" spans="1:9" ht="28.5" customHeight="1" x14ac:dyDescent="0.25">
      <c r="A60" s="113"/>
      <c r="B60" s="126"/>
      <c r="C60" s="129"/>
      <c r="D60" s="22" t="s">
        <v>17</v>
      </c>
      <c r="E60" s="67">
        <f t="shared" si="1"/>
        <v>863475.84</v>
      </c>
      <c r="F60" s="66">
        <f>F64+F66+F67+F68+F71+F73+F75</f>
        <v>121343.68999999997</v>
      </c>
      <c r="G60" s="66">
        <f>G64+G66+G67+G68+G69+G70+G71+G73+G75</f>
        <v>52105.1</v>
      </c>
      <c r="H60" s="66">
        <f>H64+H66+H67+H68+H69+H70+H71+H73+H75</f>
        <v>237543.77</v>
      </c>
      <c r="I60" s="66">
        <f>I64+I66+I67+I68+I69+I70+I71+I73+I75</f>
        <v>452483.28</v>
      </c>
    </row>
    <row r="61" spans="1:9" ht="42" customHeight="1" x14ac:dyDescent="0.25">
      <c r="A61" s="113"/>
      <c r="B61" s="126"/>
      <c r="C61" s="129"/>
      <c r="D61" s="22" t="s">
        <v>18</v>
      </c>
      <c r="E61" s="99">
        <f t="shared" si="1"/>
        <v>7457.0640000000003</v>
      </c>
      <c r="F61" s="80">
        <f>F74</f>
        <v>7457.0640000000003</v>
      </c>
      <c r="G61" s="66">
        <f>G74+G65</f>
        <v>0</v>
      </c>
      <c r="H61" s="66">
        <f>H74+H65</f>
        <v>0</v>
      </c>
      <c r="I61" s="66">
        <f>I74+I65</f>
        <v>0</v>
      </c>
    </row>
    <row r="62" spans="1:9" ht="28.5" customHeight="1" x14ac:dyDescent="0.25">
      <c r="A62" s="114"/>
      <c r="B62" s="127"/>
      <c r="C62" s="130"/>
      <c r="D62" s="22" t="s">
        <v>19</v>
      </c>
      <c r="E62" s="67">
        <f t="shared" si="1"/>
        <v>17000</v>
      </c>
      <c r="F62" s="66">
        <f>F65</f>
        <v>17000</v>
      </c>
      <c r="G62" s="66"/>
      <c r="H62" s="66"/>
      <c r="I62" s="66"/>
    </row>
    <row r="63" spans="1:9" x14ac:dyDescent="0.25">
      <c r="A63" s="112"/>
      <c r="B63" s="112"/>
      <c r="C63" s="115" t="s">
        <v>57</v>
      </c>
      <c r="D63" s="68" t="s">
        <v>26</v>
      </c>
      <c r="E63" s="30">
        <f t="shared" si="1"/>
        <v>329273.5</v>
      </c>
      <c r="F63" s="31">
        <f>F64+F65</f>
        <v>27000</v>
      </c>
      <c r="G63" s="31">
        <f>G64+G65</f>
        <v>0</v>
      </c>
      <c r="H63" s="31">
        <f>H64+H65</f>
        <v>122837.9</v>
      </c>
      <c r="I63" s="31">
        <f>I64+I65</f>
        <v>179435.6</v>
      </c>
    </row>
    <row r="64" spans="1:9" ht="27.75" customHeight="1" x14ac:dyDescent="0.25">
      <c r="A64" s="113"/>
      <c r="B64" s="113"/>
      <c r="C64" s="116"/>
      <c r="D64" s="8" t="s">
        <v>23</v>
      </c>
      <c r="E64" s="33">
        <f t="shared" si="1"/>
        <v>312273.5</v>
      </c>
      <c r="F64" s="27">
        <f>30000-20000</f>
        <v>10000</v>
      </c>
      <c r="G64" s="27">
        <f>176435.6+20000-196435.6</f>
        <v>0</v>
      </c>
      <c r="H64" s="27">
        <v>122837.9</v>
      </c>
      <c r="I64" s="27">
        <f>196435.6-17000</f>
        <v>179435.6</v>
      </c>
    </row>
    <row r="65" spans="1:9" ht="27.75" customHeight="1" x14ac:dyDescent="0.25">
      <c r="A65" s="114"/>
      <c r="B65" s="114"/>
      <c r="C65" s="117"/>
      <c r="D65" s="8" t="s">
        <v>19</v>
      </c>
      <c r="E65" s="33">
        <f t="shared" si="1"/>
        <v>17000</v>
      </c>
      <c r="F65" s="27">
        <v>17000</v>
      </c>
      <c r="G65" s="27"/>
      <c r="H65" s="27"/>
      <c r="I65" s="27"/>
    </row>
    <row r="66" spans="1:9" ht="27" customHeight="1" x14ac:dyDescent="0.25">
      <c r="A66" s="24"/>
      <c r="B66" s="24"/>
      <c r="C66" s="8" t="s">
        <v>58</v>
      </c>
      <c r="D66" s="8" t="s">
        <v>23</v>
      </c>
      <c r="E66" s="33">
        <f t="shared" si="1"/>
        <v>37862.200000000004</v>
      </c>
      <c r="F66" s="27">
        <f>10000-5000-50-0.1</f>
        <v>4949.8999999999996</v>
      </c>
      <c r="G66" s="27">
        <f>27912.3+5000-32912.3</f>
        <v>0</v>
      </c>
      <c r="H66" s="27">
        <v>0</v>
      </c>
      <c r="I66" s="27">
        <v>32912.300000000003</v>
      </c>
    </row>
    <row r="67" spans="1:9" ht="27" customHeight="1" x14ac:dyDescent="0.25">
      <c r="A67" s="24"/>
      <c r="B67" s="24"/>
      <c r="C67" s="59" t="s">
        <v>59</v>
      </c>
      <c r="D67" s="8" t="s">
        <v>23</v>
      </c>
      <c r="E67" s="33">
        <f t="shared" si="1"/>
        <v>94674.43</v>
      </c>
      <c r="F67" s="27">
        <f>95674.4-9342.27</f>
        <v>86332.12999999999</v>
      </c>
      <c r="G67" s="27">
        <v>8342.2999999999993</v>
      </c>
      <c r="H67" s="27">
        <v>0</v>
      </c>
      <c r="I67" s="27">
        <v>0</v>
      </c>
    </row>
    <row r="68" spans="1:9" ht="45.75" customHeight="1" x14ac:dyDescent="0.25">
      <c r="A68" s="24"/>
      <c r="B68" s="24"/>
      <c r="C68" s="59" t="s">
        <v>60</v>
      </c>
      <c r="D68" s="8" t="s">
        <v>23</v>
      </c>
      <c r="E68" s="47">
        <f t="shared" si="1"/>
        <v>42205.136999999988</v>
      </c>
      <c r="F68" s="48">
        <f>45825.2-34619.98+12207.53-12954.4-9412.75-665.713</f>
        <v>379.88699999999312</v>
      </c>
      <c r="G68" s="27">
        <v>26412.799999999999</v>
      </c>
      <c r="H68" s="27">
        <v>15412.45</v>
      </c>
      <c r="I68" s="27">
        <v>0</v>
      </c>
    </row>
    <row r="69" spans="1:9" ht="29.25" hidden="1" customHeight="1" x14ac:dyDescent="0.25">
      <c r="A69" s="24"/>
      <c r="B69" s="24"/>
      <c r="C69" s="59" t="s">
        <v>61</v>
      </c>
      <c r="D69" s="8" t="s">
        <v>23</v>
      </c>
      <c r="E69" s="33">
        <f t="shared" si="1"/>
        <v>0</v>
      </c>
      <c r="F69" s="27">
        <f>5160.1-5160.1</f>
        <v>0</v>
      </c>
      <c r="G69" s="27">
        <v>0</v>
      </c>
      <c r="H69" s="27">
        <v>0</v>
      </c>
      <c r="I69" s="27">
        <v>0</v>
      </c>
    </row>
    <row r="70" spans="1:9" ht="30" hidden="1" customHeight="1" x14ac:dyDescent="0.25">
      <c r="A70" s="36"/>
      <c r="B70" s="36"/>
      <c r="C70" s="59" t="s">
        <v>62</v>
      </c>
      <c r="D70" s="8" t="s">
        <v>23</v>
      </c>
      <c r="E70" s="33">
        <f t="shared" si="1"/>
        <v>0</v>
      </c>
      <c r="F70" s="27">
        <f>5000-3203.3+3203.3-5000</f>
        <v>0</v>
      </c>
      <c r="G70" s="27">
        <v>0</v>
      </c>
      <c r="H70" s="27">
        <v>0</v>
      </c>
      <c r="I70" s="27">
        <v>0</v>
      </c>
    </row>
    <row r="71" spans="1:9" ht="30.75" customHeight="1" x14ac:dyDescent="0.25">
      <c r="A71" s="8"/>
      <c r="B71" s="36"/>
      <c r="C71" s="8" t="s">
        <v>63</v>
      </c>
      <c r="D71" s="8" t="s">
        <v>23</v>
      </c>
      <c r="E71" s="33">
        <f t="shared" si="1"/>
        <v>339428.8</v>
      </c>
      <c r="F71" s="27">
        <v>0</v>
      </c>
      <c r="G71" s="27">
        <v>0</v>
      </c>
      <c r="H71" s="27">
        <f>169428.8-15412.45-97722.93+43000</f>
        <v>99293.419999999984</v>
      </c>
      <c r="I71" s="27">
        <f>100000+7000+15412.45+20000+97722.93</f>
        <v>240135.38</v>
      </c>
    </row>
    <row r="72" spans="1:9" x14ac:dyDescent="0.25">
      <c r="A72" s="118"/>
      <c r="B72" s="118"/>
      <c r="C72" s="115" t="s">
        <v>64</v>
      </c>
      <c r="D72" s="29" t="s">
        <v>26</v>
      </c>
      <c r="E72" s="94">
        <f t="shared" si="1"/>
        <v>27138.837</v>
      </c>
      <c r="F72" s="79">
        <f>F73+F74</f>
        <v>27138.837</v>
      </c>
      <c r="G72" s="69">
        <f>G73+G74</f>
        <v>0</v>
      </c>
      <c r="H72" s="69">
        <f>H73+H74</f>
        <v>0</v>
      </c>
      <c r="I72" s="69">
        <f>I73+I74</f>
        <v>0</v>
      </c>
    </row>
    <row r="73" spans="1:9" ht="28.5" customHeight="1" x14ac:dyDescent="0.25">
      <c r="A73" s="119"/>
      <c r="B73" s="119"/>
      <c r="C73" s="116"/>
      <c r="D73" s="8" t="s">
        <v>23</v>
      </c>
      <c r="E73" s="47">
        <f t="shared" si="1"/>
        <v>19681.773000000001</v>
      </c>
      <c r="F73" s="70">
        <f>35+11837.09+5000+2809.683</f>
        <v>19681.773000000001</v>
      </c>
      <c r="G73" s="48">
        <v>0</v>
      </c>
      <c r="H73" s="48">
        <v>0</v>
      </c>
      <c r="I73" s="48">
        <v>0</v>
      </c>
    </row>
    <row r="74" spans="1:9" ht="30.75" customHeight="1" x14ac:dyDescent="0.25">
      <c r="A74" s="120"/>
      <c r="B74" s="120"/>
      <c r="C74" s="117"/>
      <c r="D74" s="8" t="s">
        <v>18</v>
      </c>
      <c r="E74" s="95">
        <f t="shared" si="1"/>
        <v>7457.0640000000003</v>
      </c>
      <c r="F74" s="78">
        <f>11834.2-4377.136</f>
        <v>7457.0640000000003</v>
      </c>
      <c r="G74" s="48">
        <v>0</v>
      </c>
      <c r="H74" s="48">
        <v>0</v>
      </c>
      <c r="I74" s="48">
        <v>0</v>
      </c>
    </row>
    <row r="75" spans="1:9" ht="29.25" customHeight="1" x14ac:dyDescent="0.25">
      <c r="A75" s="71"/>
      <c r="B75" s="71"/>
      <c r="C75" s="72" t="s">
        <v>65</v>
      </c>
      <c r="D75" s="8" t="s">
        <v>23</v>
      </c>
      <c r="E75" s="33">
        <f t="shared" si="1"/>
        <v>17350</v>
      </c>
      <c r="F75" s="96">
        <f>44697.58-29697.58-4700-10000-300</f>
        <v>0</v>
      </c>
      <c r="G75" s="27">
        <v>17350</v>
      </c>
      <c r="H75" s="48">
        <v>0</v>
      </c>
      <c r="I75" s="48">
        <v>0</v>
      </c>
    </row>
    <row r="76" spans="1:9" x14ac:dyDescent="0.25">
      <c r="A76" s="109"/>
      <c r="B76" s="110" t="s">
        <v>66</v>
      </c>
      <c r="C76" s="111" t="s">
        <v>67</v>
      </c>
      <c r="D76" s="22" t="s">
        <v>10</v>
      </c>
      <c r="E76" s="67">
        <f t="shared" si="1"/>
        <v>162561.66999999998</v>
      </c>
      <c r="F76" s="66">
        <f>F77</f>
        <v>36845.57</v>
      </c>
      <c r="G76" s="73">
        <f>G77</f>
        <v>37826</v>
      </c>
      <c r="H76" s="73">
        <f>H77</f>
        <v>46784.9</v>
      </c>
      <c r="I76" s="73">
        <f>I77</f>
        <v>41105.199999999997</v>
      </c>
    </row>
    <row r="77" spans="1:9" ht="27.75" customHeight="1" x14ac:dyDescent="0.25">
      <c r="A77" s="109"/>
      <c r="B77" s="110"/>
      <c r="C77" s="111"/>
      <c r="D77" s="22" t="s">
        <v>17</v>
      </c>
      <c r="E77" s="67">
        <f t="shared" si="1"/>
        <v>162561.66999999998</v>
      </c>
      <c r="F77" s="66">
        <f>SUM(F78:F84)</f>
        <v>36845.57</v>
      </c>
      <c r="G77" s="73">
        <f>SUM(G78:G84)</f>
        <v>37826</v>
      </c>
      <c r="H77" s="73">
        <f>SUM(H78:H84)</f>
        <v>46784.9</v>
      </c>
      <c r="I77" s="73">
        <f>SUM(I78:I84)</f>
        <v>41105.199999999997</v>
      </c>
    </row>
    <row r="78" spans="1:9" ht="30" customHeight="1" x14ac:dyDescent="0.25">
      <c r="A78" s="24"/>
      <c r="B78" s="24"/>
      <c r="C78" s="8" t="s">
        <v>68</v>
      </c>
      <c r="D78" s="8" t="s">
        <v>23</v>
      </c>
      <c r="E78" s="34">
        <f t="shared" si="1"/>
        <v>95019.199999999997</v>
      </c>
      <c r="F78" s="28">
        <f>24038.8-200+335-150+150-150-75.9</f>
        <v>23947.899999999998</v>
      </c>
      <c r="G78" s="28">
        <v>22993.7</v>
      </c>
      <c r="H78" s="28">
        <v>24038.799999999999</v>
      </c>
      <c r="I78" s="28">
        <v>24038.799999999999</v>
      </c>
    </row>
    <row r="79" spans="1:9" ht="29.25" customHeight="1" x14ac:dyDescent="0.25">
      <c r="A79" s="24"/>
      <c r="B79" s="24"/>
      <c r="C79" s="8" t="s">
        <v>69</v>
      </c>
      <c r="D79" s="8" t="s">
        <v>23</v>
      </c>
      <c r="E79" s="34">
        <f t="shared" si="1"/>
        <v>16595.77</v>
      </c>
      <c r="F79" s="27">
        <f>7182-5682-571.73-196.6+0.1</f>
        <v>731.77</v>
      </c>
      <c r="G79" s="28">
        <v>1500</v>
      </c>
      <c r="H79" s="28">
        <v>7182</v>
      </c>
      <c r="I79" s="28">
        <v>7182</v>
      </c>
    </row>
    <row r="80" spans="1:9" ht="44.25" customHeight="1" x14ac:dyDescent="0.25">
      <c r="A80" s="24"/>
      <c r="B80" s="24"/>
      <c r="C80" s="8" t="s">
        <v>70</v>
      </c>
      <c r="D80" s="8" t="s">
        <v>23</v>
      </c>
      <c r="E80" s="34">
        <f t="shared" si="1"/>
        <v>500</v>
      </c>
      <c r="F80" s="28">
        <f>2504.2-2504.2</f>
        <v>0</v>
      </c>
      <c r="G80" s="28">
        <v>500</v>
      </c>
      <c r="H80" s="28">
        <v>0</v>
      </c>
      <c r="I80" s="28">
        <v>0</v>
      </c>
    </row>
    <row r="81" spans="1:9" ht="45" customHeight="1" x14ac:dyDescent="0.25">
      <c r="A81" s="24"/>
      <c r="B81" s="24"/>
      <c r="C81" s="8" t="s">
        <v>71</v>
      </c>
      <c r="D81" s="8" t="s">
        <v>23</v>
      </c>
      <c r="E81" s="34">
        <f t="shared" si="1"/>
        <v>6517.4</v>
      </c>
      <c r="F81" s="28">
        <f>3175.8-2675.8-162.3</f>
        <v>337.7</v>
      </c>
      <c r="G81" s="28">
        <v>500</v>
      </c>
      <c r="H81" s="28">
        <v>5679.7</v>
      </c>
      <c r="I81" s="28">
        <v>0</v>
      </c>
    </row>
    <row r="82" spans="1:9" ht="45" customHeight="1" x14ac:dyDescent="0.25">
      <c r="A82" s="92"/>
      <c r="B82" s="92"/>
      <c r="C82" s="8" t="s">
        <v>81</v>
      </c>
      <c r="D82" s="8" t="s">
        <v>23</v>
      </c>
      <c r="E82" s="34">
        <f t="shared" si="1"/>
        <v>1700</v>
      </c>
      <c r="F82" s="28">
        <v>0</v>
      </c>
      <c r="G82" s="28">
        <v>1700</v>
      </c>
      <c r="H82" s="28">
        <v>0</v>
      </c>
      <c r="I82" s="28">
        <v>0</v>
      </c>
    </row>
    <row r="83" spans="1:9" ht="59.25" customHeight="1" x14ac:dyDescent="0.25">
      <c r="A83" s="24"/>
      <c r="B83" s="24"/>
      <c r="C83" s="8" t="s">
        <v>72</v>
      </c>
      <c r="D83" s="8" t="s">
        <v>23</v>
      </c>
      <c r="E83" s="34">
        <f t="shared" si="1"/>
        <v>50</v>
      </c>
      <c r="F83" s="28">
        <v>50</v>
      </c>
      <c r="G83" s="28">
        <v>0</v>
      </c>
      <c r="H83" s="28">
        <v>0</v>
      </c>
      <c r="I83" s="28">
        <v>0</v>
      </c>
    </row>
    <row r="84" spans="1:9" ht="31.5" customHeight="1" x14ac:dyDescent="0.25">
      <c r="A84" s="74"/>
      <c r="B84" s="74"/>
      <c r="C84" s="8" t="s">
        <v>73</v>
      </c>
      <c r="D84" s="8" t="s">
        <v>23</v>
      </c>
      <c r="E84" s="34">
        <f t="shared" si="1"/>
        <v>42179.3</v>
      </c>
      <c r="F84" s="28">
        <f>9884.4+1392.6+823.516-823.516-89.1+395.8-179.9+457.4-83</f>
        <v>11778.199999999999</v>
      </c>
      <c r="G84" s="28">
        <v>10632.3</v>
      </c>
      <c r="H84" s="28">
        <v>9884.4</v>
      </c>
      <c r="I84" s="28">
        <v>9884.4</v>
      </c>
    </row>
    <row r="85" spans="1:9" x14ac:dyDescent="0.25">
      <c r="A85" s="1"/>
      <c r="B85" s="1"/>
      <c r="C85" s="1"/>
      <c r="D85" s="1"/>
      <c r="E85" s="1"/>
      <c r="F85" s="75"/>
      <c r="G85" s="75"/>
      <c r="H85" s="75"/>
      <c r="I85" s="75"/>
    </row>
    <row r="86" spans="1:9" x14ac:dyDescent="0.25">
      <c r="A86" s="1"/>
      <c r="B86" s="1"/>
      <c r="C86" s="1"/>
      <c r="D86" s="1"/>
      <c r="E86" s="1"/>
      <c r="F86" s="75"/>
      <c r="G86" s="75"/>
      <c r="H86" s="75"/>
      <c r="I86" s="75"/>
    </row>
    <row r="87" spans="1:9" ht="18.75" x14ac:dyDescent="0.3">
      <c r="A87" s="76"/>
      <c r="B87" s="76" t="s">
        <v>74</v>
      </c>
      <c r="C87" s="76"/>
      <c r="D87" s="76"/>
      <c r="E87" s="76"/>
      <c r="F87" s="77" t="s">
        <v>75</v>
      </c>
      <c r="G87" s="77"/>
      <c r="H87" s="77"/>
      <c r="I87" s="77"/>
    </row>
  </sheetData>
  <mergeCells count="43">
    <mergeCell ref="A5:A6"/>
    <mergeCell ref="B5:B6"/>
    <mergeCell ref="C5:C6"/>
    <mergeCell ref="D5:D6"/>
    <mergeCell ref="E5:I5"/>
    <mergeCell ref="F1:I1"/>
    <mergeCell ref="F2:I2"/>
    <mergeCell ref="A3:I3"/>
    <mergeCell ref="A4:C4"/>
    <mergeCell ref="D4:I4"/>
    <mergeCell ref="A8:A11"/>
    <mergeCell ref="B8:B11"/>
    <mergeCell ref="C8:C11"/>
    <mergeCell ref="A13:A16"/>
    <mergeCell ref="B13:B16"/>
    <mergeCell ref="C13:C16"/>
    <mergeCell ref="A19:A22"/>
    <mergeCell ref="B19:B22"/>
    <mergeCell ref="C19:C22"/>
    <mergeCell ref="A23:A25"/>
    <mergeCell ref="B23:B25"/>
    <mergeCell ref="C23:C25"/>
    <mergeCell ref="A33:A35"/>
    <mergeCell ref="B33:B35"/>
    <mergeCell ref="C33:C35"/>
    <mergeCell ref="A36:A38"/>
    <mergeCell ref="B36:B38"/>
    <mergeCell ref="C36:C38"/>
    <mergeCell ref="A42:A44"/>
    <mergeCell ref="B42:B45"/>
    <mergeCell ref="C42:C45"/>
    <mergeCell ref="A59:A62"/>
    <mergeCell ref="B59:B62"/>
    <mergeCell ref="C59:C62"/>
    <mergeCell ref="A76:A77"/>
    <mergeCell ref="B76:B77"/>
    <mergeCell ref="C76:C77"/>
    <mergeCell ref="A63:A65"/>
    <mergeCell ref="B63:B65"/>
    <mergeCell ref="C63:C65"/>
    <mergeCell ref="A72:A74"/>
    <mergeCell ref="B72:B74"/>
    <mergeCell ref="C72:C74"/>
  </mergeCells>
  <pageMargins left="0.43307086614173229" right="0.31496062992125984" top="0.35433070866141736" bottom="0.39370078740157483" header="0.15748031496062992" footer="0.15748031496062992"/>
  <pageSetup paperSize="9" scale="6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93"/>
  <sheetViews>
    <sheetView topLeftCell="A38" workbookViewId="0">
      <selection activeCell="C50" sqref="C50"/>
    </sheetView>
  </sheetViews>
  <sheetFormatPr defaultRowHeight="15" x14ac:dyDescent="0.25"/>
  <cols>
    <col min="1" max="1" width="4" customWidth="1"/>
    <col min="2" max="2" width="21.140625" customWidth="1"/>
    <col min="3" max="3" width="69.140625" customWidth="1"/>
    <col min="4" max="4" width="19.140625" customWidth="1"/>
    <col min="5" max="5" width="18.140625" customWidth="1"/>
    <col min="6" max="6" width="17.42578125" customWidth="1"/>
    <col min="7" max="7" width="18.85546875" customWidth="1"/>
    <col min="8" max="8" width="18.5703125" customWidth="1"/>
    <col min="9" max="9" width="18.140625" customWidth="1"/>
  </cols>
  <sheetData>
    <row r="1" spans="1:9" ht="39" customHeight="1" x14ac:dyDescent="0.25">
      <c r="A1" s="1"/>
      <c r="B1" s="1"/>
      <c r="C1" s="1"/>
      <c r="D1" s="1"/>
      <c r="E1" s="1"/>
      <c r="F1" s="132" t="s">
        <v>77</v>
      </c>
      <c r="G1" s="132"/>
      <c r="H1" s="132"/>
      <c r="I1" s="132"/>
    </row>
    <row r="2" spans="1:9" ht="89.25" customHeight="1" x14ac:dyDescent="0.25">
      <c r="A2" s="1"/>
      <c r="B2" s="1"/>
      <c r="C2" s="1"/>
      <c r="D2" s="1"/>
      <c r="E2" s="1"/>
      <c r="F2" s="133" t="s">
        <v>1</v>
      </c>
      <c r="G2" s="133"/>
      <c r="H2" s="133"/>
      <c r="I2" s="133"/>
    </row>
    <row r="3" spans="1:9" ht="42" customHeight="1" x14ac:dyDescent="0.25">
      <c r="A3" s="134" t="s">
        <v>2</v>
      </c>
      <c r="B3" s="134"/>
      <c r="C3" s="134"/>
      <c r="D3" s="134"/>
      <c r="E3" s="134"/>
      <c r="F3" s="134"/>
      <c r="G3" s="134"/>
      <c r="H3" s="134"/>
      <c r="I3" s="134"/>
    </row>
    <row r="4" spans="1:9" ht="14.25" customHeight="1" x14ac:dyDescent="0.25">
      <c r="A4" s="135" t="s">
        <v>3</v>
      </c>
      <c r="B4" s="135"/>
      <c r="C4" s="135"/>
      <c r="D4" s="135" t="s">
        <v>4</v>
      </c>
      <c r="E4" s="135"/>
      <c r="F4" s="135"/>
      <c r="G4" s="135"/>
      <c r="H4" s="135"/>
      <c r="I4" s="135"/>
    </row>
    <row r="5" spans="1:9" x14ac:dyDescent="0.25">
      <c r="A5" s="109" t="s">
        <v>5</v>
      </c>
      <c r="B5" s="135" t="s">
        <v>6</v>
      </c>
      <c r="C5" s="135" t="s">
        <v>7</v>
      </c>
      <c r="D5" s="135" t="s">
        <v>8</v>
      </c>
      <c r="E5" s="135" t="s">
        <v>9</v>
      </c>
      <c r="F5" s="135"/>
      <c r="G5" s="135"/>
      <c r="H5" s="135"/>
      <c r="I5" s="135"/>
    </row>
    <row r="6" spans="1:9" x14ac:dyDescent="0.25">
      <c r="A6" s="109"/>
      <c r="B6" s="135"/>
      <c r="C6" s="135"/>
      <c r="D6" s="135"/>
      <c r="E6" s="89" t="s">
        <v>10</v>
      </c>
      <c r="F6" s="3" t="s">
        <v>11</v>
      </c>
      <c r="G6" s="3" t="s">
        <v>12</v>
      </c>
      <c r="H6" s="3" t="s">
        <v>13</v>
      </c>
      <c r="I6" s="3" t="s">
        <v>14</v>
      </c>
    </row>
    <row r="7" spans="1:9" x14ac:dyDescent="0.25">
      <c r="A7" s="89">
        <v>1</v>
      </c>
      <c r="B7" s="89">
        <v>2</v>
      </c>
      <c r="C7" s="89">
        <v>3</v>
      </c>
      <c r="D7" s="89">
        <v>4</v>
      </c>
      <c r="E7" s="89">
        <v>5</v>
      </c>
      <c r="F7" s="3">
        <v>6</v>
      </c>
      <c r="G7" s="3">
        <v>7</v>
      </c>
      <c r="H7" s="3">
        <v>8</v>
      </c>
      <c r="I7" s="3">
        <v>9</v>
      </c>
    </row>
    <row r="8" spans="1:9" x14ac:dyDescent="0.25">
      <c r="A8" s="110"/>
      <c r="B8" s="131" t="s">
        <v>15</v>
      </c>
      <c r="C8" s="111" t="s">
        <v>16</v>
      </c>
      <c r="D8" s="4" t="s">
        <v>10</v>
      </c>
      <c r="E8" s="5">
        <f>SUM(F8:I8)</f>
        <v>2408252.3168699997</v>
      </c>
      <c r="F8" s="5">
        <f>F9+F10+F11</f>
        <v>652988.75286999997</v>
      </c>
      <c r="G8" s="7">
        <f>G9+G10+G11</f>
        <v>398646.83499999996</v>
      </c>
      <c r="H8" s="7">
        <f>H9+H10+H11</f>
        <v>759581.84900000005</v>
      </c>
      <c r="I8" s="6">
        <f>I9+I10+I11</f>
        <v>597034.88</v>
      </c>
    </row>
    <row r="9" spans="1:9" ht="30" customHeight="1" x14ac:dyDescent="0.25">
      <c r="A9" s="110"/>
      <c r="B9" s="131"/>
      <c r="C9" s="111"/>
      <c r="D9" s="8" t="s">
        <v>17</v>
      </c>
      <c r="E9" s="9">
        <f>SUM(F9:I9)</f>
        <v>2008495.0477499999</v>
      </c>
      <c r="F9" s="9">
        <f>F14+F65+F83</f>
        <v>416387.87775000004</v>
      </c>
      <c r="G9" s="10">
        <f>G14+G65+G83</f>
        <v>285708.92999999993</v>
      </c>
      <c r="H9" s="10">
        <f>H14+H65+H83</f>
        <v>709363.36</v>
      </c>
      <c r="I9" s="10">
        <f>I14+I65+I83</f>
        <v>597034.88</v>
      </c>
    </row>
    <row r="10" spans="1:9" ht="27.75" customHeight="1" x14ac:dyDescent="0.25">
      <c r="A10" s="110"/>
      <c r="B10" s="131"/>
      <c r="C10" s="111"/>
      <c r="D10" s="8" t="s">
        <v>18</v>
      </c>
      <c r="E10" s="9">
        <f>SUM(F10:I10)</f>
        <v>280239.56511999998</v>
      </c>
      <c r="F10" s="9">
        <f t="shared" ref="F10:I11" si="0">F15+F66</f>
        <v>156206.87511999998</v>
      </c>
      <c r="G10" s="11">
        <f t="shared" si="0"/>
        <v>112937.905</v>
      </c>
      <c r="H10" s="11">
        <f t="shared" si="0"/>
        <v>11094.785</v>
      </c>
      <c r="I10" s="10">
        <f t="shared" si="0"/>
        <v>0</v>
      </c>
    </row>
    <row r="11" spans="1:9" ht="30" customHeight="1" x14ac:dyDescent="0.25">
      <c r="A11" s="110"/>
      <c r="B11" s="131"/>
      <c r="C11" s="111"/>
      <c r="D11" s="8" t="s">
        <v>19</v>
      </c>
      <c r="E11" s="11">
        <f>SUM(F11:I11)</f>
        <v>119517.704</v>
      </c>
      <c r="F11" s="12">
        <f t="shared" si="0"/>
        <v>80394</v>
      </c>
      <c r="G11" s="12">
        <f t="shared" si="0"/>
        <v>0</v>
      </c>
      <c r="H11" s="97">
        <f t="shared" si="0"/>
        <v>39123.703999999998</v>
      </c>
      <c r="I11" s="12">
        <f t="shared" si="0"/>
        <v>0</v>
      </c>
    </row>
    <row r="12" spans="1:9" hidden="1" x14ac:dyDescent="0.25">
      <c r="A12" s="13"/>
      <c r="B12" s="14"/>
      <c r="C12" s="15"/>
      <c r="D12" s="15"/>
      <c r="E12" s="16"/>
      <c r="F12" s="17"/>
      <c r="G12" s="17"/>
      <c r="H12" s="17"/>
      <c r="I12" s="17"/>
    </row>
    <row r="13" spans="1:9" x14ac:dyDescent="0.25">
      <c r="A13" s="109"/>
      <c r="B13" s="131" t="s">
        <v>20</v>
      </c>
      <c r="C13" s="111" t="s">
        <v>21</v>
      </c>
      <c r="D13" s="4" t="s">
        <v>10</v>
      </c>
      <c r="E13" s="18">
        <f t="shared" ref="E13:E90" si="1">SUM(F13:I13)</f>
        <v>1352334.3128699996</v>
      </c>
      <c r="F13" s="19">
        <f>F14+F15+F16</f>
        <v>470342.42887</v>
      </c>
      <c r="G13" s="21">
        <f>G14+G15+G16</f>
        <v>303292.30499999993</v>
      </c>
      <c r="H13" s="21">
        <f>H14+H15+H16</f>
        <v>475253.17899999989</v>
      </c>
      <c r="I13" s="20">
        <f>I14+I15+I16</f>
        <v>103446.39999999999</v>
      </c>
    </row>
    <row r="14" spans="1:9" ht="30.75" customHeight="1" x14ac:dyDescent="0.25">
      <c r="A14" s="109"/>
      <c r="B14" s="131"/>
      <c r="C14" s="111"/>
      <c r="D14" s="85" t="s">
        <v>17</v>
      </c>
      <c r="E14" s="18">
        <f t="shared" si="1"/>
        <v>977034.10774999997</v>
      </c>
      <c r="F14" s="19">
        <f>F17+F18+F20+F24+F26+F27+F28+F30+F31+F32+F34+F37+F39+F40+F41+F45+F46+F47+F48+F49+F50+F51+F52+F53+F54+F55+F56+F57+F58+F59+F61+F63</f>
        <v>258198.61775000003</v>
      </c>
      <c r="G14" s="20">
        <f t="shared" ref="G14:I14" si="2">G17+G18+G20+G24+G26+G27+G28+G30+G31+G32+G34+G37+G39+G40+G41+G45+G46+G47+G48+G49+G50+G51+G52+G53+G54+G55+G56+G57+G58+G59+G61+G63</f>
        <v>190354.39999999997</v>
      </c>
      <c r="H14" s="20">
        <f t="shared" si="2"/>
        <v>425034.68999999994</v>
      </c>
      <c r="I14" s="20">
        <f t="shared" si="2"/>
        <v>103446.39999999999</v>
      </c>
    </row>
    <row r="15" spans="1:9" ht="41.25" customHeight="1" x14ac:dyDescent="0.25">
      <c r="A15" s="109"/>
      <c r="B15" s="131"/>
      <c r="C15" s="111"/>
      <c r="D15" s="85" t="s">
        <v>18</v>
      </c>
      <c r="E15" s="18">
        <f t="shared" si="1"/>
        <v>272782.50111999997</v>
      </c>
      <c r="F15" s="19">
        <f>F21+F35+F38+F43</f>
        <v>148749.81111999997</v>
      </c>
      <c r="G15" s="21">
        <f>G21+G35+G38+G43+G62</f>
        <v>112937.905</v>
      </c>
      <c r="H15" s="21">
        <f>H21+H35+H38+H43+H62</f>
        <v>11094.785</v>
      </c>
      <c r="I15" s="20">
        <f>I21+I35+I38+I43+I62</f>
        <v>0</v>
      </c>
    </row>
    <row r="16" spans="1:9" ht="27" customHeight="1" x14ac:dyDescent="0.25">
      <c r="A16" s="109"/>
      <c r="B16" s="131"/>
      <c r="C16" s="111"/>
      <c r="D16" s="85" t="s">
        <v>19</v>
      </c>
      <c r="E16" s="98">
        <f t="shared" si="1"/>
        <v>102517.704</v>
      </c>
      <c r="F16" s="20">
        <f>F44+F22+F25</f>
        <v>63394</v>
      </c>
      <c r="G16" s="20">
        <f>G44+G22+G25</f>
        <v>0</v>
      </c>
      <c r="H16" s="21">
        <f>H44+H22+H25</f>
        <v>39123.703999999998</v>
      </c>
      <c r="I16" s="20">
        <f>I44+I22+I25</f>
        <v>0</v>
      </c>
    </row>
    <row r="17" spans="1:9" ht="30.75" customHeight="1" x14ac:dyDescent="0.25">
      <c r="A17" s="84"/>
      <c r="B17" s="25"/>
      <c r="C17" s="8" t="s">
        <v>22</v>
      </c>
      <c r="D17" s="8" t="s">
        <v>23</v>
      </c>
      <c r="E17" s="26">
        <f t="shared" si="1"/>
        <v>6235.74</v>
      </c>
      <c r="F17" s="27">
        <f>20689.8-14419.8-34.26</f>
        <v>6235.74</v>
      </c>
      <c r="G17" s="28">
        <v>0</v>
      </c>
      <c r="H17" s="28">
        <v>0</v>
      </c>
      <c r="I17" s="28">
        <v>0</v>
      </c>
    </row>
    <row r="18" spans="1:9" ht="30.75" customHeight="1" x14ac:dyDescent="0.25">
      <c r="A18" s="84"/>
      <c r="B18" s="25"/>
      <c r="C18" s="8" t="s">
        <v>24</v>
      </c>
      <c r="D18" s="8" t="s">
        <v>23</v>
      </c>
      <c r="E18" s="26">
        <f t="shared" si="1"/>
        <v>2966.94</v>
      </c>
      <c r="F18" s="27">
        <f>3000-33.06</f>
        <v>2966.94</v>
      </c>
      <c r="G18" s="28">
        <v>0</v>
      </c>
      <c r="H18" s="28">
        <v>0</v>
      </c>
      <c r="I18" s="28">
        <v>0</v>
      </c>
    </row>
    <row r="19" spans="1:9" x14ac:dyDescent="0.25">
      <c r="A19" s="112"/>
      <c r="B19" s="112"/>
      <c r="C19" s="115" t="s">
        <v>25</v>
      </c>
      <c r="D19" s="29" t="s">
        <v>26</v>
      </c>
      <c r="E19" s="30">
        <f t="shared" si="1"/>
        <v>184301.74</v>
      </c>
      <c r="F19" s="31">
        <f>F20+F22+F21</f>
        <v>52440.049999999996</v>
      </c>
      <c r="G19" s="31">
        <f>G20+G22+G21</f>
        <v>75000</v>
      </c>
      <c r="H19" s="31">
        <f>H20+H22+H21</f>
        <v>56861.69</v>
      </c>
      <c r="I19" s="32">
        <f>I20+I22</f>
        <v>0</v>
      </c>
    </row>
    <row r="20" spans="1:9" ht="29.25" customHeight="1" x14ac:dyDescent="0.25">
      <c r="A20" s="113"/>
      <c r="B20" s="113"/>
      <c r="C20" s="116"/>
      <c r="D20" s="8" t="s">
        <v>23</v>
      </c>
      <c r="E20" s="33">
        <f t="shared" si="1"/>
        <v>150155.64000000001</v>
      </c>
      <c r="F20" s="27">
        <f>3000+1000+2000+2000+2000+12440.05-4146.1</f>
        <v>18293.949999999997</v>
      </c>
      <c r="G20" s="28">
        <f>380232-320232+15000</f>
        <v>75000</v>
      </c>
      <c r="H20" s="27">
        <f>311231-257151.47+17782.16-15000</f>
        <v>56861.69</v>
      </c>
      <c r="I20" s="28"/>
    </row>
    <row r="21" spans="1:9" ht="30.75" customHeight="1" x14ac:dyDescent="0.25">
      <c r="A21" s="113"/>
      <c r="B21" s="113"/>
      <c r="C21" s="116"/>
      <c r="D21" s="8" t="s">
        <v>18</v>
      </c>
      <c r="E21" s="33">
        <f t="shared" si="1"/>
        <v>10000</v>
      </c>
      <c r="F21" s="27">
        <v>10000</v>
      </c>
      <c r="G21" s="28">
        <v>0</v>
      </c>
      <c r="H21" s="28">
        <v>0</v>
      </c>
      <c r="I21" s="28">
        <v>0</v>
      </c>
    </row>
    <row r="22" spans="1:9" ht="27.75" customHeight="1" x14ac:dyDescent="0.25">
      <c r="A22" s="114"/>
      <c r="B22" s="114"/>
      <c r="C22" s="117"/>
      <c r="D22" s="8" t="s">
        <v>19</v>
      </c>
      <c r="E22" s="34">
        <f t="shared" si="1"/>
        <v>24146.1</v>
      </c>
      <c r="F22" s="28">
        <f>20000+4146.1</f>
        <v>24146.1</v>
      </c>
      <c r="G22" s="28">
        <v>0</v>
      </c>
      <c r="H22" s="28">
        <v>0</v>
      </c>
      <c r="I22" s="28">
        <v>0</v>
      </c>
    </row>
    <row r="23" spans="1:9" x14ac:dyDescent="0.25">
      <c r="A23" s="112"/>
      <c r="B23" s="112"/>
      <c r="C23" s="115" t="s">
        <v>27</v>
      </c>
      <c r="D23" s="29" t="s">
        <v>26</v>
      </c>
      <c r="E23" s="30">
        <f t="shared" si="1"/>
        <v>43394</v>
      </c>
      <c r="F23" s="35">
        <f>SUM(F24:F25)</f>
        <v>43394</v>
      </c>
      <c r="G23" s="35">
        <f>SUM(G24:G25)</f>
        <v>0</v>
      </c>
      <c r="H23" s="35">
        <f>SUM(H24:H25)</f>
        <v>0</v>
      </c>
      <c r="I23" s="35">
        <f>SUM(I24:I25)</f>
        <v>0</v>
      </c>
    </row>
    <row r="24" spans="1:9" ht="30" customHeight="1" x14ac:dyDescent="0.25">
      <c r="A24" s="113"/>
      <c r="B24" s="113"/>
      <c r="C24" s="116"/>
      <c r="D24" s="8" t="s">
        <v>23</v>
      </c>
      <c r="E24" s="34">
        <f t="shared" si="1"/>
        <v>4146.1000000000004</v>
      </c>
      <c r="F24" s="28">
        <f>4146.1</f>
        <v>4146.1000000000004</v>
      </c>
      <c r="G24" s="28"/>
      <c r="H24" s="28"/>
      <c r="I24" s="28"/>
    </row>
    <row r="25" spans="1:9" ht="28.5" customHeight="1" x14ac:dyDescent="0.25">
      <c r="A25" s="114"/>
      <c r="B25" s="114"/>
      <c r="C25" s="117"/>
      <c r="D25" s="8" t="s">
        <v>19</v>
      </c>
      <c r="E25" s="34">
        <f t="shared" si="1"/>
        <v>39247.9</v>
      </c>
      <c r="F25" s="27">
        <f>43393.8+0.2-4146.1</f>
        <v>39247.9</v>
      </c>
      <c r="G25" s="28">
        <v>0</v>
      </c>
      <c r="H25" s="28">
        <v>0</v>
      </c>
      <c r="I25" s="28">
        <v>0</v>
      </c>
    </row>
    <row r="26" spans="1:9" ht="31.5" customHeight="1" x14ac:dyDescent="0.25">
      <c r="A26" s="88"/>
      <c r="B26" s="8"/>
      <c r="C26" s="8" t="s">
        <v>28</v>
      </c>
      <c r="D26" s="8" t="s">
        <v>23</v>
      </c>
      <c r="E26" s="33">
        <f t="shared" si="1"/>
        <v>3034.92</v>
      </c>
      <c r="F26" s="27">
        <f>3788.5-467.48-150-71.1-65</f>
        <v>3034.92</v>
      </c>
      <c r="G26" s="28">
        <v>0</v>
      </c>
      <c r="H26" s="28">
        <v>0</v>
      </c>
      <c r="I26" s="28">
        <v>0</v>
      </c>
    </row>
    <row r="27" spans="1:9" ht="31.5" customHeight="1" x14ac:dyDescent="0.25">
      <c r="A27" s="88"/>
      <c r="B27" s="8"/>
      <c r="C27" s="8" t="s">
        <v>29</v>
      </c>
      <c r="D27" s="8" t="s">
        <v>23</v>
      </c>
      <c r="E27" s="37">
        <f t="shared" si="1"/>
        <v>3821.35</v>
      </c>
      <c r="F27" s="27">
        <f>4470.2-445.5-203.35</f>
        <v>3821.35</v>
      </c>
      <c r="G27" s="28"/>
      <c r="H27" s="28"/>
      <c r="I27" s="28"/>
    </row>
    <row r="28" spans="1:9" ht="30.75" customHeight="1" x14ac:dyDescent="0.25">
      <c r="A28" s="88"/>
      <c r="B28" s="8"/>
      <c r="C28" s="8" t="s">
        <v>30</v>
      </c>
      <c r="D28" s="8" t="s">
        <v>23</v>
      </c>
      <c r="E28" s="37">
        <f t="shared" si="1"/>
        <v>1779.7199999999998</v>
      </c>
      <c r="F28" s="38">
        <f>4717-2000-770.61-98-68.67</f>
        <v>1779.7199999999998</v>
      </c>
      <c r="G28" s="28"/>
      <c r="H28" s="28"/>
      <c r="I28" s="28"/>
    </row>
    <row r="29" spans="1:9" ht="29.25" hidden="1" customHeight="1" x14ac:dyDescent="0.25">
      <c r="A29" s="88"/>
      <c r="B29" s="8"/>
      <c r="C29" s="8" t="s">
        <v>31</v>
      </c>
      <c r="D29" s="8" t="s">
        <v>23</v>
      </c>
      <c r="E29" s="37">
        <f t="shared" si="1"/>
        <v>0</v>
      </c>
      <c r="F29" s="38">
        <f>3500-3500</f>
        <v>0</v>
      </c>
      <c r="G29" s="28"/>
      <c r="H29" s="28"/>
      <c r="I29" s="28"/>
    </row>
    <row r="30" spans="1:9" ht="27.75" customHeight="1" x14ac:dyDescent="0.25">
      <c r="A30" s="88"/>
      <c r="B30" s="8"/>
      <c r="C30" s="8" t="s">
        <v>32</v>
      </c>
      <c r="D30" s="8" t="s">
        <v>23</v>
      </c>
      <c r="E30" s="37">
        <f t="shared" si="1"/>
        <v>2352.63</v>
      </c>
      <c r="F30" s="38">
        <f>2421-68.37</f>
        <v>2352.63</v>
      </c>
      <c r="G30" s="28"/>
      <c r="H30" s="28"/>
      <c r="I30" s="28"/>
    </row>
    <row r="31" spans="1:9" ht="28.5" customHeight="1" x14ac:dyDescent="0.25">
      <c r="A31" s="88"/>
      <c r="B31" s="8"/>
      <c r="C31" s="8" t="s">
        <v>33</v>
      </c>
      <c r="D31" s="8" t="s">
        <v>23</v>
      </c>
      <c r="E31" s="37">
        <f t="shared" si="1"/>
        <v>17739.400000000001</v>
      </c>
      <c r="F31" s="38">
        <f>22739.4-5000</f>
        <v>17739.400000000001</v>
      </c>
      <c r="G31" s="28"/>
      <c r="H31" s="39"/>
      <c r="I31" s="39"/>
    </row>
    <row r="32" spans="1:9" ht="28.5" customHeight="1" x14ac:dyDescent="0.25">
      <c r="A32" s="88"/>
      <c r="B32" s="8"/>
      <c r="C32" s="8" t="s">
        <v>34</v>
      </c>
      <c r="D32" s="8" t="s">
        <v>23</v>
      </c>
      <c r="E32" s="34">
        <f t="shared" si="1"/>
        <v>146082.1</v>
      </c>
      <c r="F32" s="28">
        <f>39482.1+20000+150+40000+5000+25000</f>
        <v>129632.1</v>
      </c>
      <c r="G32" s="81">
        <f>100000-20000-40000-23550</f>
        <v>16450</v>
      </c>
      <c r="H32" s="39">
        <v>0</v>
      </c>
      <c r="I32" s="39">
        <v>0</v>
      </c>
    </row>
    <row r="33" spans="1:9" x14ac:dyDescent="0.25">
      <c r="A33" s="122"/>
      <c r="B33" s="122"/>
      <c r="C33" s="115" t="s">
        <v>35</v>
      </c>
      <c r="D33" s="29" t="s">
        <v>26</v>
      </c>
      <c r="E33" s="40">
        <f t="shared" si="1"/>
        <v>91068.98000000001</v>
      </c>
      <c r="F33" s="31">
        <f>F34+F35</f>
        <v>51574.68</v>
      </c>
      <c r="G33" s="31">
        <f>G34+G35</f>
        <v>39494.300000000003</v>
      </c>
      <c r="H33" s="41">
        <f>H34+H35</f>
        <v>0</v>
      </c>
      <c r="I33" s="41">
        <f>I34+I35</f>
        <v>0</v>
      </c>
    </row>
    <row r="34" spans="1:9" ht="30.75" customHeight="1" x14ac:dyDescent="0.25">
      <c r="A34" s="123"/>
      <c r="B34" s="123"/>
      <c r="C34" s="116"/>
      <c r="D34" s="8" t="s">
        <v>23</v>
      </c>
      <c r="E34" s="42">
        <f t="shared" si="1"/>
        <v>30111.18</v>
      </c>
      <c r="F34" s="43">
        <f>36641-3333.885-3065.71-1535-8515.925</f>
        <v>20190.48</v>
      </c>
      <c r="G34" s="82">
        <f>62152.9-18572.08-29573.6-4086.6+0.08</f>
        <v>9920.7000000000007</v>
      </c>
      <c r="H34" s="44">
        <v>0</v>
      </c>
      <c r="I34" s="44">
        <v>0</v>
      </c>
    </row>
    <row r="35" spans="1:9" ht="29.25" customHeight="1" x14ac:dyDescent="0.25">
      <c r="A35" s="124"/>
      <c r="B35" s="124"/>
      <c r="C35" s="117"/>
      <c r="D35" s="8" t="s">
        <v>18</v>
      </c>
      <c r="E35" s="42">
        <f>SUM(F35:I35)</f>
        <v>60957.8</v>
      </c>
      <c r="F35" s="43">
        <v>31384.2</v>
      </c>
      <c r="G35" s="43">
        <v>29573.599999999999</v>
      </c>
      <c r="H35" s="44">
        <v>0</v>
      </c>
      <c r="I35" s="44">
        <v>0</v>
      </c>
    </row>
    <row r="36" spans="1:9" x14ac:dyDescent="0.25">
      <c r="A36" s="122"/>
      <c r="B36" s="122"/>
      <c r="C36" s="115" t="s">
        <v>36</v>
      </c>
      <c r="D36" s="45" t="s">
        <v>26</v>
      </c>
      <c r="E36" s="40">
        <f t="shared" si="1"/>
        <v>93649.540000000008</v>
      </c>
      <c r="F36" s="31">
        <f>F37+F38</f>
        <v>53162.74</v>
      </c>
      <c r="G36" s="31">
        <f>G37+G38</f>
        <v>40486.800000000003</v>
      </c>
      <c r="H36" s="32">
        <f>H37+H38</f>
        <v>0</v>
      </c>
      <c r="I36" s="32">
        <f>I37+I38</f>
        <v>0</v>
      </c>
    </row>
    <row r="37" spans="1:9" ht="30" customHeight="1" x14ac:dyDescent="0.25">
      <c r="A37" s="123"/>
      <c r="B37" s="123"/>
      <c r="C37" s="116"/>
      <c r="D37" s="8" t="s">
        <v>23</v>
      </c>
      <c r="E37" s="42">
        <f t="shared" si="1"/>
        <v>34230.239999999998</v>
      </c>
      <c r="F37" s="43">
        <f>29561.5+3203.3-12194.16+2000</f>
        <v>22570.639999999999</v>
      </c>
      <c r="G37" s="82">
        <f>13659.6-2000</f>
        <v>11659.6</v>
      </c>
      <c r="H37" s="46">
        <v>0</v>
      </c>
      <c r="I37" s="46">
        <v>0</v>
      </c>
    </row>
    <row r="38" spans="1:9" ht="31.5" customHeight="1" x14ac:dyDescent="0.25">
      <c r="A38" s="124"/>
      <c r="B38" s="124"/>
      <c r="C38" s="117"/>
      <c r="D38" s="8" t="s">
        <v>18</v>
      </c>
      <c r="E38" s="42">
        <f t="shared" si="1"/>
        <v>59419.3</v>
      </c>
      <c r="F38" s="43">
        <v>30592.1</v>
      </c>
      <c r="G38" s="43">
        <v>28827.200000000001</v>
      </c>
      <c r="H38" s="46">
        <v>0</v>
      </c>
      <c r="I38" s="46">
        <v>0</v>
      </c>
    </row>
    <row r="39" spans="1:9" ht="29.25" customHeight="1" x14ac:dyDescent="0.25">
      <c r="A39" s="88"/>
      <c r="B39" s="8"/>
      <c r="C39" s="8" t="s">
        <v>37</v>
      </c>
      <c r="D39" s="8" t="s">
        <v>23</v>
      </c>
      <c r="E39" s="33">
        <f t="shared" si="1"/>
        <v>288688.5</v>
      </c>
      <c r="F39" s="28">
        <f>1977.3+56000-56000-1977.3</f>
        <v>2.9558577807620168E-12</v>
      </c>
      <c r="G39" s="28">
        <f>288688.5-140000-32688.5+32688.5-118688.5</f>
        <v>30000</v>
      </c>
      <c r="H39" s="27">
        <f>140000-43311.51+43311.51+118688.5</f>
        <v>258688.5</v>
      </c>
      <c r="I39" s="28"/>
    </row>
    <row r="40" spans="1:9" ht="33.75" customHeight="1" x14ac:dyDescent="0.25">
      <c r="A40" s="88"/>
      <c r="B40" s="8"/>
      <c r="C40" s="8" t="s">
        <v>38</v>
      </c>
      <c r="D40" s="8" t="s">
        <v>23</v>
      </c>
      <c r="E40" s="47">
        <f t="shared" si="1"/>
        <v>7845.7170000000006</v>
      </c>
      <c r="F40" s="48">
        <f>7328.7+1500-982.983</f>
        <v>7845.7170000000006</v>
      </c>
      <c r="G40" s="28">
        <v>0</v>
      </c>
      <c r="H40" s="28">
        <v>0</v>
      </c>
      <c r="I40" s="28">
        <v>0</v>
      </c>
    </row>
    <row r="41" spans="1:9" ht="33.75" customHeight="1" x14ac:dyDescent="0.25">
      <c r="A41" s="88"/>
      <c r="B41" s="8"/>
      <c r="C41" s="8" t="s">
        <v>39</v>
      </c>
      <c r="D41" s="8" t="s">
        <v>23</v>
      </c>
      <c r="E41" s="33">
        <f t="shared" si="1"/>
        <v>17125.12</v>
      </c>
      <c r="F41" s="27">
        <f>14969.5-5006.1+5500+1683.59-21.87</f>
        <v>17125.12</v>
      </c>
      <c r="G41" s="28">
        <v>0</v>
      </c>
      <c r="H41" s="28">
        <v>0</v>
      </c>
      <c r="I41" s="28">
        <v>0</v>
      </c>
    </row>
    <row r="42" spans="1:9" x14ac:dyDescent="0.25">
      <c r="A42" s="121"/>
      <c r="B42" s="122"/>
      <c r="C42" s="115" t="s">
        <v>40</v>
      </c>
      <c r="D42" s="45" t="s">
        <v>26</v>
      </c>
      <c r="E42" s="49">
        <f t="shared" si="1"/>
        <v>181947.48087</v>
      </c>
      <c r="F42" s="50">
        <f>F43+F44+F45</f>
        <v>77191.886870000002</v>
      </c>
      <c r="G42" s="51">
        <f>G43+G44+G45</f>
        <v>54537.105000000003</v>
      </c>
      <c r="H42" s="52">
        <f>H43+H44+H45</f>
        <v>50218.489000000001</v>
      </c>
      <c r="I42" s="35">
        <f>I43+I44+I45</f>
        <v>0</v>
      </c>
    </row>
    <row r="43" spans="1:9" ht="30" customHeight="1" x14ac:dyDescent="0.25">
      <c r="A43" s="121"/>
      <c r="B43" s="123"/>
      <c r="C43" s="116"/>
      <c r="D43" s="8" t="s">
        <v>41</v>
      </c>
      <c r="E43" s="53">
        <f t="shared" si="1"/>
        <v>142405.40111999999</v>
      </c>
      <c r="F43" s="54">
        <v>76773.511119999996</v>
      </c>
      <c r="G43" s="55">
        <v>54537.105000000003</v>
      </c>
      <c r="H43" s="55">
        <v>11094.785</v>
      </c>
      <c r="I43" s="28">
        <v>0</v>
      </c>
    </row>
    <row r="44" spans="1:9" ht="31.5" customHeight="1" x14ac:dyDescent="0.25">
      <c r="A44" s="121"/>
      <c r="B44" s="123"/>
      <c r="C44" s="116"/>
      <c r="D44" s="8" t="s">
        <v>19</v>
      </c>
      <c r="E44" s="91">
        <f t="shared" si="1"/>
        <v>39123.703999999998</v>
      </c>
      <c r="F44" s="56">
        <f>9585.765-3195.255-6390.51</f>
        <v>0</v>
      </c>
      <c r="G44" s="57">
        <v>0</v>
      </c>
      <c r="H44" s="55">
        <v>39123.703999999998</v>
      </c>
      <c r="I44" s="28"/>
    </row>
    <row r="45" spans="1:9" ht="30" customHeight="1" x14ac:dyDescent="0.25">
      <c r="A45" s="88"/>
      <c r="B45" s="124"/>
      <c r="C45" s="117"/>
      <c r="D45" s="8" t="s">
        <v>23</v>
      </c>
      <c r="E45" s="53">
        <f t="shared" si="1"/>
        <v>418.37574999999998</v>
      </c>
      <c r="F45" s="54">
        <v>418.37574999999998</v>
      </c>
      <c r="G45" s="28">
        <v>0</v>
      </c>
      <c r="H45" s="28">
        <v>0</v>
      </c>
      <c r="I45" s="28">
        <v>0</v>
      </c>
    </row>
    <row r="46" spans="1:9" ht="30.75" customHeight="1" x14ac:dyDescent="0.25">
      <c r="A46" s="84"/>
      <c r="B46" s="25"/>
      <c r="C46" s="8" t="s">
        <v>42</v>
      </c>
      <c r="D46" s="8" t="s">
        <v>23</v>
      </c>
      <c r="E46" s="33">
        <f t="shared" si="1"/>
        <v>1909.9</v>
      </c>
      <c r="F46" s="27">
        <v>0</v>
      </c>
      <c r="G46" s="27">
        <v>1909.9</v>
      </c>
      <c r="H46" s="58">
        <v>0</v>
      </c>
      <c r="I46" s="58">
        <v>0</v>
      </c>
    </row>
    <row r="47" spans="1:9" ht="29.25" customHeight="1" x14ac:dyDescent="0.25">
      <c r="A47" s="84"/>
      <c r="B47" s="25"/>
      <c r="C47" s="8" t="s">
        <v>43</v>
      </c>
      <c r="D47" s="8" t="s">
        <v>23</v>
      </c>
      <c r="E47" s="33">
        <f t="shared" si="1"/>
        <v>41542.199999999997</v>
      </c>
      <c r="F47" s="27">
        <v>0</v>
      </c>
      <c r="G47" s="27">
        <v>0</v>
      </c>
      <c r="H47" s="27">
        <f>31542.2</f>
        <v>31542.2</v>
      </c>
      <c r="I47" s="27">
        <v>10000</v>
      </c>
    </row>
    <row r="48" spans="1:9" ht="32.25" customHeight="1" x14ac:dyDescent="0.25">
      <c r="A48" s="84"/>
      <c r="B48" s="25"/>
      <c r="C48" s="8" t="s">
        <v>44</v>
      </c>
      <c r="D48" s="8" t="s">
        <v>23</v>
      </c>
      <c r="E48" s="33">
        <f t="shared" si="1"/>
        <v>31267.599999999999</v>
      </c>
      <c r="F48" s="27">
        <v>0</v>
      </c>
      <c r="G48" s="27">
        <v>0</v>
      </c>
      <c r="H48" s="27">
        <v>21267.599999999999</v>
      </c>
      <c r="I48" s="27">
        <v>10000</v>
      </c>
    </row>
    <row r="49" spans="1:9" ht="32.25" customHeight="1" x14ac:dyDescent="0.25">
      <c r="A49" s="84"/>
      <c r="B49" s="25"/>
      <c r="C49" s="59" t="s">
        <v>45</v>
      </c>
      <c r="D49" s="8" t="s">
        <v>23</v>
      </c>
      <c r="E49" s="33">
        <f t="shared" si="1"/>
        <v>15285</v>
      </c>
      <c r="F49" s="27">
        <v>0</v>
      </c>
      <c r="G49" s="27">
        <f>13396.4-13396.4</f>
        <v>0</v>
      </c>
      <c r="H49" s="27">
        <v>1888.6</v>
      </c>
      <c r="I49" s="27">
        <v>13396.4</v>
      </c>
    </row>
    <row r="50" spans="1:9" ht="29.25" customHeight="1" x14ac:dyDescent="0.25">
      <c r="A50" s="84"/>
      <c r="B50" s="25"/>
      <c r="C50" s="8" t="s">
        <v>46</v>
      </c>
      <c r="D50" s="8" t="s">
        <v>23</v>
      </c>
      <c r="E50" s="33">
        <f t="shared" si="1"/>
        <v>38488.800000000003</v>
      </c>
      <c r="F50" s="27">
        <v>0</v>
      </c>
      <c r="G50" s="27">
        <f>20000-20000</f>
        <v>0</v>
      </c>
      <c r="H50" s="27">
        <v>18488.8</v>
      </c>
      <c r="I50" s="27">
        <v>20000</v>
      </c>
    </row>
    <row r="51" spans="1:9" ht="29.25" customHeight="1" x14ac:dyDescent="0.25">
      <c r="A51" s="84"/>
      <c r="B51" s="25"/>
      <c r="C51" s="8" t="s">
        <v>47</v>
      </c>
      <c r="D51" s="8" t="s">
        <v>23</v>
      </c>
      <c r="E51" s="33">
        <f t="shared" si="1"/>
        <v>2757.7</v>
      </c>
      <c r="F51" s="27">
        <v>0</v>
      </c>
      <c r="G51" s="27">
        <f>2757.7-2757.7</f>
        <v>0</v>
      </c>
      <c r="H51" s="27">
        <v>2757.7</v>
      </c>
      <c r="I51" s="27"/>
    </row>
    <row r="52" spans="1:9" ht="30.75" customHeight="1" x14ac:dyDescent="0.25">
      <c r="A52" s="84"/>
      <c r="B52" s="25"/>
      <c r="C52" s="8" t="s">
        <v>48</v>
      </c>
      <c r="D52" s="8" t="s">
        <v>23</v>
      </c>
      <c r="E52" s="42">
        <f t="shared" si="1"/>
        <v>8539.6</v>
      </c>
      <c r="F52" s="43">
        <v>0</v>
      </c>
      <c r="G52" s="43">
        <v>0</v>
      </c>
      <c r="H52" s="43">
        <v>8539.6</v>
      </c>
      <c r="I52" s="43">
        <v>0</v>
      </c>
    </row>
    <row r="53" spans="1:9" ht="29.25" customHeight="1" x14ac:dyDescent="0.25">
      <c r="A53" s="84"/>
      <c r="B53" s="25"/>
      <c r="C53" s="8" t="s">
        <v>49</v>
      </c>
      <c r="D53" s="8" t="s">
        <v>23</v>
      </c>
      <c r="E53" s="42">
        <f t="shared" si="1"/>
        <v>3003.4</v>
      </c>
      <c r="F53" s="43">
        <f>3065.71-50+50-3003.33-62.38</f>
        <v>1.0658141036401503E-13</v>
      </c>
      <c r="G53" s="43">
        <v>3003.4</v>
      </c>
      <c r="H53" s="43">
        <v>0</v>
      </c>
      <c r="I53" s="43">
        <v>0</v>
      </c>
    </row>
    <row r="54" spans="1:9" ht="30.75" customHeight="1" x14ac:dyDescent="0.25">
      <c r="A54" s="84"/>
      <c r="B54" s="25"/>
      <c r="C54" s="8" t="s">
        <v>50</v>
      </c>
      <c r="D54" s="8" t="s">
        <v>23</v>
      </c>
      <c r="E54" s="60">
        <f t="shared" si="1"/>
        <v>45.435000000000002</v>
      </c>
      <c r="F54" s="61">
        <f>50+50-54.565</f>
        <v>45.435000000000002</v>
      </c>
      <c r="G54" s="43">
        <v>0</v>
      </c>
      <c r="H54" s="43">
        <v>0</v>
      </c>
      <c r="I54" s="43">
        <v>0</v>
      </c>
    </row>
    <row r="55" spans="1:9" ht="30" customHeight="1" x14ac:dyDescent="0.25">
      <c r="A55" s="84"/>
      <c r="B55" s="25"/>
      <c r="C55" s="62" t="s">
        <v>51</v>
      </c>
      <c r="D55" s="62" t="s">
        <v>23</v>
      </c>
      <c r="E55" s="43">
        <f t="shared" si="1"/>
        <v>50050</v>
      </c>
      <c r="F55" s="43">
        <v>0</v>
      </c>
      <c r="G55" s="43">
        <v>0</v>
      </c>
      <c r="H55" s="43">
        <f>50050-50050</f>
        <v>0</v>
      </c>
      <c r="I55" s="43">
        <v>50050</v>
      </c>
    </row>
    <row r="56" spans="1:9" ht="59.25" customHeight="1" x14ac:dyDescent="0.25">
      <c r="A56" s="63"/>
      <c r="B56" s="64"/>
      <c r="C56" s="65" t="s">
        <v>52</v>
      </c>
      <c r="D56" s="62" t="s">
        <v>23</v>
      </c>
      <c r="E56" s="43">
        <f t="shared" si="1"/>
        <v>5600</v>
      </c>
      <c r="F56" s="43">
        <f>5600-5600</f>
        <v>0</v>
      </c>
      <c r="G56" s="43">
        <f>5600</f>
        <v>5600</v>
      </c>
      <c r="H56" s="43">
        <v>0</v>
      </c>
      <c r="I56" s="43">
        <v>0</v>
      </c>
    </row>
    <row r="57" spans="1:9" ht="27.75" customHeight="1" x14ac:dyDescent="0.25">
      <c r="A57" s="63"/>
      <c r="B57" s="64"/>
      <c r="C57" s="65" t="s">
        <v>53</v>
      </c>
      <c r="D57" s="62" t="s">
        <v>23</v>
      </c>
      <c r="E57" s="43">
        <f t="shared" si="1"/>
        <v>1200</v>
      </c>
      <c r="F57" s="43">
        <f>98-98</f>
        <v>0</v>
      </c>
      <c r="G57" s="43">
        <f>8200-7000</f>
        <v>1200</v>
      </c>
      <c r="H57" s="43">
        <f>7700-7700</f>
        <v>0</v>
      </c>
      <c r="I57" s="43">
        <v>0</v>
      </c>
    </row>
    <row r="58" spans="1:9" ht="32.25" customHeight="1" x14ac:dyDescent="0.25">
      <c r="A58" s="63"/>
      <c r="B58" s="64"/>
      <c r="C58" s="65" t="s">
        <v>54</v>
      </c>
      <c r="D58" s="62" t="s">
        <v>23</v>
      </c>
      <c r="E58" s="43">
        <f t="shared" si="1"/>
        <v>610.79999999999995</v>
      </c>
      <c r="F58" s="43">
        <v>0</v>
      </c>
      <c r="G58" s="43">
        <v>610.79999999999995</v>
      </c>
      <c r="H58" s="43">
        <v>0</v>
      </c>
      <c r="I58" s="43">
        <v>0</v>
      </c>
    </row>
    <row r="59" spans="1:9" ht="32.25" customHeight="1" x14ac:dyDescent="0.25">
      <c r="A59" s="63"/>
      <c r="B59" s="64"/>
      <c r="C59" s="65" t="s">
        <v>78</v>
      </c>
      <c r="D59" s="62" t="s">
        <v>23</v>
      </c>
      <c r="E59" s="43">
        <f t="shared" si="1"/>
        <v>5000</v>
      </c>
      <c r="F59" s="43">
        <v>0</v>
      </c>
      <c r="G59" s="43">
        <v>5000</v>
      </c>
      <c r="H59" s="43"/>
      <c r="I59" s="43"/>
    </row>
    <row r="60" spans="1:9" ht="18" customHeight="1" x14ac:dyDescent="0.25">
      <c r="A60" s="112"/>
      <c r="B60" s="112"/>
      <c r="C60" s="136" t="s">
        <v>79</v>
      </c>
      <c r="D60" s="29" t="s">
        <v>26</v>
      </c>
      <c r="E60" s="90">
        <f t="shared" si="1"/>
        <v>50000</v>
      </c>
      <c r="F60" s="90">
        <f>F61+F62</f>
        <v>0</v>
      </c>
      <c r="G60" s="90">
        <f>G61+G62</f>
        <v>25000</v>
      </c>
      <c r="H60" s="90">
        <f>H61+H62</f>
        <v>25000</v>
      </c>
      <c r="I60" s="90" t="s">
        <v>80</v>
      </c>
    </row>
    <row r="61" spans="1:9" ht="28.5" customHeight="1" x14ac:dyDescent="0.25">
      <c r="A61" s="113"/>
      <c r="B61" s="113"/>
      <c r="C61" s="137"/>
      <c r="D61" s="8" t="s">
        <v>23</v>
      </c>
      <c r="E61" s="43">
        <f t="shared" si="1"/>
        <v>50000</v>
      </c>
      <c r="F61" s="43">
        <v>0</v>
      </c>
      <c r="G61" s="43">
        <v>25000</v>
      </c>
      <c r="H61" s="43">
        <v>25000</v>
      </c>
      <c r="I61" s="43">
        <v>0</v>
      </c>
    </row>
    <row r="62" spans="1:9" ht="30" hidden="1" customHeight="1" x14ac:dyDescent="0.25">
      <c r="A62" s="114"/>
      <c r="B62" s="114"/>
      <c r="C62" s="138"/>
      <c r="D62" s="8" t="s">
        <v>18</v>
      </c>
      <c r="E62" s="43">
        <f t="shared" si="1"/>
        <v>0</v>
      </c>
      <c r="F62" s="43">
        <v>0</v>
      </c>
      <c r="G62" s="43"/>
      <c r="H62" s="43"/>
      <c r="I62" s="43">
        <v>0</v>
      </c>
    </row>
    <row r="63" spans="1:9" ht="30" customHeight="1" x14ac:dyDescent="0.25">
      <c r="A63" s="100"/>
      <c r="B63" s="100"/>
      <c r="C63" s="101" t="s">
        <v>82</v>
      </c>
      <c r="D63" s="8" t="s">
        <v>23</v>
      </c>
      <c r="E63" s="43">
        <f t="shared" si="1"/>
        <v>5000</v>
      </c>
      <c r="F63" s="43">
        <v>0</v>
      </c>
      <c r="G63" s="43">
        <v>5000</v>
      </c>
      <c r="H63" s="43">
        <v>0</v>
      </c>
      <c r="I63" s="43">
        <v>0</v>
      </c>
    </row>
    <row r="64" spans="1:9" x14ac:dyDescent="0.25">
      <c r="A64" s="112"/>
      <c r="B64" s="125" t="s">
        <v>55</v>
      </c>
      <c r="C64" s="128" t="s">
        <v>56</v>
      </c>
      <c r="D64" s="4" t="s">
        <v>10</v>
      </c>
      <c r="E64" s="99">
        <f t="shared" si="1"/>
        <v>893356.33400000003</v>
      </c>
      <c r="F64" s="80">
        <f>F65+F66+F67</f>
        <v>145800.75399999996</v>
      </c>
      <c r="G64" s="66">
        <f>G65+G66+G67</f>
        <v>57528.53</v>
      </c>
      <c r="H64" s="66">
        <f>H65+H66+H67</f>
        <v>237543.77</v>
      </c>
      <c r="I64" s="66">
        <f>I65+I66+I67</f>
        <v>452483.28</v>
      </c>
    </row>
    <row r="65" spans="1:9" ht="28.5" customHeight="1" x14ac:dyDescent="0.25">
      <c r="A65" s="113"/>
      <c r="B65" s="126"/>
      <c r="C65" s="129"/>
      <c r="D65" s="85" t="s">
        <v>17</v>
      </c>
      <c r="E65" s="67">
        <f t="shared" si="1"/>
        <v>868899.27</v>
      </c>
      <c r="F65" s="66">
        <f>F69+F71+F72+F73+F76+F78+F80+F81</f>
        <v>121343.68999999997</v>
      </c>
      <c r="G65" s="66">
        <f t="shared" ref="G65:I65" si="3">G69+G71+G72+G73+G76+G78+G80+G81</f>
        <v>57528.53</v>
      </c>
      <c r="H65" s="66">
        <f t="shared" si="3"/>
        <v>237543.77</v>
      </c>
      <c r="I65" s="66">
        <f t="shared" si="3"/>
        <v>452483.28</v>
      </c>
    </row>
    <row r="66" spans="1:9" ht="42" customHeight="1" x14ac:dyDescent="0.25">
      <c r="A66" s="113"/>
      <c r="B66" s="126"/>
      <c r="C66" s="129"/>
      <c r="D66" s="85" t="s">
        <v>18</v>
      </c>
      <c r="E66" s="99">
        <f t="shared" si="1"/>
        <v>7457.0640000000003</v>
      </c>
      <c r="F66" s="80">
        <f>F79</f>
        <v>7457.0640000000003</v>
      </c>
      <c r="G66" s="66">
        <f>G79+G70</f>
        <v>0</v>
      </c>
      <c r="H66" s="66">
        <f>H79+H70</f>
        <v>0</v>
      </c>
      <c r="I66" s="66">
        <f>I79+I70</f>
        <v>0</v>
      </c>
    </row>
    <row r="67" spans="1:9" ht="28.5" customHeight="1" x14ac:dyDescent="0.25">
      <c r="A67" s="114"/>
      <c r="B67" s="127"/>
      <c r="C67" s="130"/>
      <c r="D67" s="85" t="s">
        <v>19</v>
      </c>
      <c r="E67" s="67">
        <f t="shared" si="1"/>
        <v>17000</v>
      </c>
      <c r="F67" s="66">
        <f>F70</f>
        <v>17000</v>
      </c>
      <c r="G67" s="66"/>
      <c r="H67" s="66"/>
      <c r="I67" s="66"/>
    </row>
    <row r="68" spans="1:9" x14ac:dyDescent="0.25">
      <c r="A68" s="112"/>
      <c r="B68" s="112"/>
      <c r="C68" s="115" t="s">
        <v>57</v>
      </c>
      <c r="D68" s="68" t="s">
        <v>26</v>
      </c>
      <c r="E68" s="30">
        <f t="shared" si="1"/>
        <v>329273.5</v>
      </c>
      <c r="F68" s="31">
        <f>F69+F70</f>
        <v>27000</v>
      </c>
      <c r="G68" s="31">
        <f>G69+G70</f>
        <v>0</v>
      </c>
      <c r="H68" s="31">
        <f>H69+H70</f>
        <v>122837.9</v>
      </c>
      <c r="I68" s="31">
        <f>I69+I70</f>
        <v>179435.6</v>
      </c>
    </row>
    <row r="69" spans="1:9" ht="27.75" customHeight="1" x14ac:dyDescent="0.25">
      <c r="A69" s="113"/>
      <c r="B69" s="113"/>
      <c r="C69" s="116"/>
      <c r="D69" s="8" t="s">
        <v>23</v>
      </c>
      <c r="E69" s="33">
        <f t="shared" si="1"/>
        <v>312273.5</v>
      </c>
      <c r="F69" s="27">
        <f>30000-20000</f>
        <v>10000</v>
      </c>
      <c r="G69" s="27">
        <f>176435.6+20000-196435.6</f>
        <v>0</v>
      </c>
      <c r="H69" s="27">
        <v>122837.9</v>
      </c>
      <c r="I69" s="27">
        <f>196435.6-17000</f>
        <v>179435.6</v>
      </c>
    </row>
    <row r="70" spans="1:9" ht="27.75" customHeight="1" x14ac:dyDescent="0.25">
      <c r="A70" s="114"/>
      <c r="B70" s="114"/>
      <c r="C70" s="117"/>
      <c r="D70" s="8" t="s">
        <v>19</v>
      </c>
      <c r="E70" s="33">
        <f t="shared" si="1"/>
        <v>17000</v>
      </c>
      <c r="F70" s="27">
        <v>17000</v>
      </c>
      <c r="G70" s="27"/>
      <c r="H70" s="27"/>
      <c r="I70" s="27"/>
    </row>
    <row r="71" spans="1:9" ht="27" customHeight="1" x14ac:dyDescent="0.25">
      <c r="A71" s="84"/>
      <c r="B71" s="84"/>
      <c r="C71" s="8" t="s">
        <v>58</v>
      </c>
      <c r="D71" s="8" t="s">
        <v>23</v>
      </c>
      <c r="E71" s="33">
        <f t="shared" si="1"/>
        <v>37862.200000000004</v>
      </c>
      <c r="F71" s="27">
        <f>10000-5000-50-0.1</f>
        <v>4949.8999999999996</v>
      </c>
      <c r="G71" s="27">
        <f>27912.3+5000-32912.3</f>
        <v>0</v>
      </c>
      <c r="H71" s="27">
        <v>0</v>
      </c>
      <c r="I71" s="27">
        <v>32912.300000000003</v>
      </c>
    </row>
    <row r="72" spans="1:9" ht="27" customHeight="1" x14ac:dyDescent="0.25">
      <c r="A72" s="84"/>
      <c r="B72" s="84"/>
      <c r="C72" s="59" t="s">
        <v>59</v>
      </c>
      <c r="D72" s="8" t="s">
        <v>23</v>
      </c>
      <c r="E72" s="33">
        <f t="shared" si="1"/>
        <v>94674.43</v>
      </c>
      <c r="F72" s="27">
        <f>95674.4-9342.27</f>
        <v>86332.12999999999</v>
      </c>
      <c r="G72" s="27">
        <v>8342.2999999999993</v>
      </c>
      <c r="H72" s="27">
        <v>0</v>
      </c>
      <c r="I72" s="27">
        <v>0</v>
      </c>
    </row>
    <row r="73" spans="1:9" ht="45.75" customHeight="1" x14ac:dyDescent="0.25">
      <c r="A73" s="84"/>
      <c r="B73" s="84"/>
      <c r="C73" s="59" t="s">
        <v>60</v>
      </c>
      <c r="D73" s="8" t="s">
        <v>23</v>
      </c>
      <c r="E73" s="33">
        <f t="shared" si="1"/>
        <v>42205.136999999988</v>
      </c>
      <c r="F73" s="48">
        <f>45825.2-34619.98+12207.53-12954.4-9412.75-665.713</f>
        <v>379.88699999999312</v>
      </c>
      <c r="G73" s="27">
        <v>26412.799999999999</v>
      </c>
      <c r="H73" s="27">
        <v>15412.45</v>
      </c>
      <c r="I73" s="27">
        <v>0</v>
      </c>
    </row>
    <row r="74" spans="1:9" ht="29.25" hidden="1" customHeight="1" x14ac:dyDescent="0.25">
      <c r="A74" s="84"/>
      <c r="B74" s="84"/>
      <c r="C74" s="59" t="s">
        <v>61</v>
      </c>
      <c r="D74" s="8" t="s">
        <v>23</v>
      </c>
      <c r="E74" s="33">
        <f t="shared" si="1"/>
        <v>0</v>
      </c>
      <c r="F74" s="27">
        <f>5160.1-5160.1</f>
        <v>0</v>
      </c>
      <c r="G74" s="27">
        <v>0</v>
      </c>
      <c r="H74" s="27">
        <v>0</v>
      </c>
      <c r="I74" s="27">
        <v>0</v>
      </c>
    </row>
    <row r="75" spans="1:9" ht="30" hidden="1" customHeight="1" x14ac:dyDescent="0.25">
      <c r="A75" s="88"/>
      <c r="B75" s="88"/>
      <c r="C75" s="59" t="s">
        <v>62</v>
      </c>
      <c r="D75" s="8" t="s">
        <v>23</v>
      </c>
      <c r="E75" s="33">
        <f t="shared" si="1"/>
        <v>0</v>
      </c>
      <c r="F75" s="27">
        <f>5000-3203.3+3203.3-5000</f>
        <v>0</v>
      </c>
      <c r="G75" s="27">
        <v>0</v>
      </c>
      <c r="H75" s="27">
        <v>0</v>
      </c>
      <c r="I75" s="27">
        <v>0</v>
      </c>
    </row>
    <row r="76" spans="1:9" ht="30.75" customHeight="1" x14ac:dyDescent="0.25">
      <c r="A76" s="8"/>
      <c r="B76" s="88"/>
      <c r="C76" s="8" t="s">
        <v>63</v>
      </c>
      <c r="D76" s="8" t="s">
        <v>23</v>
      </c>
      <c r="E76" s="33">
        <f t="shared" si="1"/>
        <v>339428.8</v>
      </c>
      <c r="F76" s="27">
        <v>0</v>
      </c>
      <c r="G76" s="27">
        <v>0</v>
      </c>
      <c r="H76" s="27">
        <f>169428.8-15412.45-97722.93+43000</f>
        <v>99293.419999999984</v>
      </c>
      <c r="I76" s="27">
        <f>100000+7000+15412.45+20000+97722.93</f>
        <v>240135.38</v>
      </c>
    </row>
    <row r="77" spans="1:9" x14ac:dyDescent="0.25">
      <c r="A77" s="118"/>
      <c r="B77" s="118"/>
      <c r="C77" s="115" t="s">
        <v>64</v>
      </c>
      <c r="D77" s="29" t="s">
        <v>26</v>
      </c>
      <c r="E77" s="94">
        <f t="shared" si="1"/>
        <v>27138.837</v>
      </c>
      <c r="F77" s="79">
        <f>F78+F79</f>
        <v>27138.837</v>
      </c>
      <c r="G77" s="69">
        <f>G78+G79</f>
        <v>0</v>
      </c>
      <c r="H77" s="69">
        <f>H78+H79</f>
        <v>0</v>
      </c>
      <c r="I77" s="69">
        <f>I78+I79</f>
        <v>0</v>
      </c>
    </row>
    <row r="78" spans="1:9" ht="28.5" customHeight="1" x14ac:dyDescent="0.25">
      <c r="A78" s="119"/>
      <c r="B78" s="119"/>
      <c r="C78" s="116"/>
      <c r="D78" s="8" t="s">
        <v>23</v>
      </c>
      <c r="E78" s="47">
        <f t="shared" si="1"/>
        <v>19681.773000000001</v>
      </c>
      <c r="F78" s="70">
        <f>35+11837.09+5000+2809.683</f>
        <v>19681.773000000001</v>
      </c>
      <c r="G78" s="48">
        <v>0</v>
      </c>
      <c r="H78" s="48">
        <v>0</v>
      </c>
      <c r="I78" s="48">
        <v>0</v>
      </c>
    </row>
    <row r="79" spans="1:9" ht="30.75" customHeight="1" x14ac:dyDescent="0.25">
      <c r="A79" s="120"/>
      <c r="B79" s="120"/>
      <c r="C79" s="117"/>
      <c r="D79" s="8" t="s">
        <v>18</v>
      </c>
      <c r="E79" s="95">
        <f t="shared" si="1"/>
        <v>7457.0640000000003</v>
      </c>
      <c r="F79" s="78">
        <f>11834.2-4377.136</f>
        <v>7457.0640000000003</v>
      </c>
      <c r="G79" s="48">
        <v>0</v>
      </c>
      <c r="H79" s="48">
        <v>0</v>
      </c>
      <c r="I79" s="48">
        <v>0</v>
      </c>
    </row>
    <row r="80" spans="1:9" ht="29.25" customHeight="1" x14ac:dyDescent="0.25">
      <c r="A80" s="87"/>
      <c r="B80" s="87"/>
      <c r="C80" s="86" t="s">
        <v>65</v>
      </c>
      <c r="D80" s="8" t="s">
        <v>23</v>
      </c>
      <c r="E80" s="47">
        <f t="shared" si="1"/>
        <v>19773.43</v>
      </c>
      <c r="F80" s="70">
        <f>44697.58-29697.58-4700-10000-300</f>
        <v>0</v>
      </c>
      <c r="G80" s="83">
        <f>17350+2423.43</f>
        <v>19773.43</v>
      </c>
      <c r="H80" s="48">
        <v>0</v>
      </c>
      <c r="I80" s="48">
        <v>0</v>
      </c>
    </row>
    <row r="81" spans="1:9" ht="48.75" customHeight="1" x14ac:dyDescent="0.25">
      <c r="A81" s="87"/>
      <c r="B81" s="87"/>
      <c r="C81" s="86" t="s">
        <v>76</v>
      </c>
      <c r="D81" s="8" t="s">
        <v>23</v>
      </c>
      <c r="E81" s="47">
        <f t="shared" si="1"/>
        <v>3000</v>
      </c>
      <c r="F81" s="70">
        <v>0</v>
      </c>
      <c r="G81" s="83">
        <v>3000</v>
      </c>
      <c r="H81" s="48"/>
      <c r="I81" s="48"/>
    </row>
    <row r="82" spans="1:9" x14ac:dyDescent="0.25">
      <c r="A82" s="109"/>
      <c r="B82" s="110" t="s">
        <v>66</v>
      </c>
      <c r="C82" s="111" t="s">
        <v>67</v>
      </c>
      <c r="D82" s="85" t="s">
        <v>10</v>
      </c>
      <c r="E82" s="67">
        <f t="shared" si="1"/>
        <v>162561.66999999998</v>
      </c>
      <c r="F82" s="66">
        <f>F83</f>
        <v>36845.57</v>
      </c>
      <c r="G82" s="73">
        <f>G83</f>
        <v>37826</v>
      </c>
      <c r="H82" s="73">
        <f>H83</f>
        <v>46784.9</v>
      </c>
      <c r="I82" s="73">
        <f>I83</f>
        <v>41105.199999999997</v>
      </c>
    </row>
    <row r="83" spans="1:9" ht="27.75" customHeight="1" x14ac:dyDescent="0.25">
      <c r="A83" s="109"/>
      <c r="B83" s="110"/>
      <c r="C83" s="111"/>
      <c r="D83" s="85" t="s">
        <v>17</v>
      </c>
      <c r="E83" s="67">
        <f t="shared" si="1"/>
        <v>162561.66999999998</v>
      </c>
      <c r="F83" s="66">
        <f>SUM(F84:F90)</f>
        <v>36845.57</v>
      </c>
      <c r="G83" s="73">
        <f>SUM(G84:G90)</f>
        <v>37826</v>
      </c>
      <c r="H83" s="73">
        <f>SUM(H84:H90)</f>
        <v>46784.9</v>
      </c>
      <c r="I83" s="73">
        <f>SUM(I84:I90)</f>
        <v>41105.199999999997</v>
      </c>
    </row>
    <row r="84" spans="1:9" ht="30" customHeight="1" x14ac:dyDescent="0.25">
      <c r="A84" s="84"/>
      <c r="B84" s="84"/>
      <c r="C84" s="8" t="s">
        <v>68</v>
      </c>
      <c r="D84" s="8" t="s">
        <v>23</v>
      </c>
      <c r="E84" s="34">
        <f t="shared" si="1"/>
        <v>95019.199999999997</v>
      </c>
      <c r="F84" s="28">
        <f>24038.8-200+335-150+150-150-75.9</f>
        <v>23947.899999999998</v>
      </c>
      <c r="G84" s="28">
        <v>22993.7</v>
      </c>
      <c r="H84" s="28">
        <v>24038.799999999999</v>
      </c>
      <c r="I84" s="28">
        <v>24038.799999999999</v>
      </c>
    </row>
    <row r="85" spans="1:9" ht="29.25" customHeight="1" x14ac:dyDescent="0.25">
      <c r="A85" s="84"/>
      <c r="B85" s="84"/>
      <c r="C85" s="8" t="s">
        <v>69</v>
      </c>
      <c r="D85" s="8" t="s">
        <v>23</v>
      </c>
      <c r="E85" s="34">
        <f t="shared" si="1"/>
        <v>16595.77</v>
      </c>
      <c r="F85" s="27">
        <f>7182-5682-571.73-196.6+0.1</f>
        <v>731.77</v>
      </c>
      <c r="G85" s="28">
        <v>1500</v>
      </c>
      <c r="H85" s="28">
        <v>7182</v>
      </c>
      <c r="I85" s="28">
        <v>7182</v>
      </c>
    </row>
    <row r="86" spans="1:9" ht="44.25" customHeight="1" x14ac:dyDescent="0.25">
      <c r="A86" s="84"/>
      <c r="B86" s="84"/>
      <c r="C86" s="8" t="s">
        <v>70</v>
      </c>
      <c r="D86" s="8" t="s">
        <v>23</v>
      </c>
      <c r="E86" s="34">
        <f t="shared" si="1"/>
        <v>500</v>
      </c>
      <c r="F86" s="28">
        <f>2504.2-2504.2</f>
        <v>0</v>
      </c>
      <c r="G86" s="28">
        <v>500</v>
      </c>
      <c r="H86" s="28">
        <v>0</v>
      </c>
      <c r="I86" s="28">
        <v>0</v>
      </c>
    </row>
    <row r="87" spans="1:9" ht="45" customHeight="1" x14ac:dyDescent="0.25">
      <c r="A87" s="84"/>
      <c r="B87" s="84"/>
      <c r="C87" s="8" t="s">
        <v>71</v>
      </c>
      <c r="D87" s="8" t="s">
        <v>23</v>
      </c>
      <c r="E87" s="34">
        <f t="shared" si="1"/>
        <v>6517.4</v>
      </c>
      <c r="F87" s="28">
        <f>3175.8-2675.8-162.3</f>
        <v>337.7</v>
      </c>
      <c r="G87" s="28">
        <v>500</v>
      </c>
      <c r="H87" s="28">
        <v>5679.7</v>
      </c>
      <c r="I87" s="28">
        <v>0</v>
      </c>
    </row>
    <row r="88" spans="1:9" ht="45" customHeight="1" x14ac:dyDescent="0.25">
      <c r="A88" s="92"/>
      <c r="B88" s="92"/>
      <c r="C88" s="8" t="s">
        <v>81</v>
      </c>
      <c r="D88" s="8" t="s">
        <v>23</v>
      </c>
      <c r="E88" s="34">
        <f t="shared" si="1"/>
        <v>1700</v>
      </c>
      <c r="F88" s="28">
        <v>0</v>
      </c>
      <c r="G88" s="28">
        <v>1700</v>
      </c>
      <c r="H88" s="28">
        <v>0</v>
      </c>
      <c r="I88" s="28">
        <v>0</v>
      </c>
    </row>
    <row r="89" spans="1:9" ht="59.25" customHeight="1" x14ac:dyDescent="0.25">
      <c r="A89" s="84"/>
      <c r="B89" s="84"/>
      <c r="C89" s="8" t="s">
        <v>72</v>
      </c>
      <c r="D89" s="8" t="s">
        <v>23</v>
      </c>
      <c r="E89" s="34">
        <f t="shared" si="1"/>
        <v>50</v>
      </c>
      <c r="F89" s="28">
        <v>50</v>
      </c>
      <c r="G89" s="28">
        <v>0</v>
      </c>
      <c r="H89" s="28">
        <v>0</v>
      </c>
      <c r="I89" s="28">
        <v>0</v>
      </c>
    </row>
    <row r="90" spans="1:9" ht="31.5" customHeight="1" x14ac:dyDescent="0.25">
      <c r="A90" s="74"/>
      <c r="B90" s="74"/>
      <c r="C90" s="8" t="s">
        <v>73</v>
      </c>
      <c r="D90" s="8" t="s">
        <v>23</v>
      </c>
      <c r="E90" s="34">
        <f t="shared" si="1"/>
        <v>42179.3</v>
      </c>
      <c r="F90" s="28">
        <f>9884.4+1392.6+823.516-823.516-89.1+395.8-179.9+457.4-83</f>
        <v>11778.199999999999</v>
      </c>
      <c r="G90" s="28">
        <v>10632.3</v>
      </c>
      <c r="H90" s="28">
        <v>9884.4</v>
      </c>
      <c r="I90" s="28">
        <v>9884.4</v>
      </c>
    </row>
    <row r="91" spans="1:9" x14ac:dyDescent="0.25">
      <c r="A91" s="1"/>
      <c r="B91" s="1"/>
      <c r="C91" s="1"/>
      <c r="D91" s="1"/>
      <c r="E91" s="1"/>
      <c r="F91" s="75"/>
      <c r="G91" s="75"/>
      <c r="H91" s="75"/>
      <c r="I91" s="75"/>
    </row>
    <row r="92" spans="1:9" x14ac:dyDescent="0.25">
      <c r="A92" s="1"/>
      <c r="B92" s="1"/>
      <c r="C92" s="1"/>
      <c r="D92" s="1"/>
      <c r="E92" s="1"/>
      <c r="F92" s="75"/>
      <c r="G92" s="75"/>
      <c r="H92" s="75"/>
      <c r="I92" s="75"/>
    </row>
    <row r="93" spans="1:9" ht="18.75" x14ac:dyDescent="0.3">
      <c r="A93" s="76"/>
      <c r="B93" s="76" t="s">
        <v>74</v>
      </c>
      <c r="C93" s="76"/>
      <c r="D93" s="76"/>
      <c r="E93" s="76"/>
      <c r="F93" s="77" t="s">
        <v>75</v>
      </c>
      <c r="G93" s="77"/>
      <c r="H93" s="77"/>
      <c r="I93" s="77"/>
    </row>
  </sheetData>
  <mergeCells count="46">
    <mergeCell ref="A5:A6"/>
    <mergeCell ref="B5:B6"/>
    <mergeCell ref="C5:C6"/>
    <mergeCell ref="D5:D6"/>
    <mergeCell ref="E5:I5"/>
    <mergeCell ref="F1:I1"/>
    <mergeCell ref="F2:I2"/>
    <mergeCell ref="A3:I3"/>
    <mergeCell ref="A4:C4"/>
    <mergeCell ref="D4:I4"/>
    <mergeCell ref="A8:A11"/>
    <mergeCell ref="B8:B11"/>
    <mergeCell ref="C8:C11"/>
    <mergeCell ref="A13:A16"/>
    <mergeCell ref="B13:B16"/>
    <mergeCell ref="C13:C16"/>
    <mergeCell ref="A19:A22"/>
    <mergeCell ref="B19:B22"/>
    <mergeCell ref="C19:C22"/>
    <mergeCell ref="A23:A25"/>
    <mergeCell ref="B23:B25"/>
    <mergeCell ref="C23:C25"/>
    <mergeCell ref="A33:A35"/>
    <mergeCell ref="B33:B35"/>
    <mergeCell ref="C33:C35"/>
    <mergeCell ref="A36:A38"/>
    <mergeCell ref="B36:B38"/>
    <mergeCell ref="C36:C38"/>
    <mergeCell ref="A42:A44"/>
    <mergeCell ref="B42:B45"/>
    <mergeCell ref="C42:C45"/>
    <mergeCell ref="A64:A67"/>
    <mergeCell ref="B64:B67"/>
    <mergeCell ref="C64:C67"/>
    <mergeCell ref="A82:A83"/>
    <mergeCell ref="B82:B83"/>
    <mergeCell ref="C82:C83"/>
    <mergeCell ref="A60:A62"/>
    <mergeCell ref="B60:B62"/>
    <mergeCell ref="C60:C62"/>
    <mergeCell ref="A68:A70"/>
    <mergeCell ref="B68:B70"/>
    <mergeCell ref="C68:C70"/>
    <mergeCell ref="A77:A79"/>
    <mergeCell ref="B77:B79"/>
    <mergeCell ref="C77:C79"/>
  </mergeCells>
  <pageMargins left="0.43307086614173229" right="0.31496062992125984" top="0.35433070866141736" bottom="0.39370078740157483" header="0.15748031496062992" footer="0.15748031496062992"/>
  <pageSetup paperSize="9" scale="6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3"/>
  <sheetViews>
    <sheetView tabSelected="1" workbookViewId="0">
      <selection activeCell="F1" sqref="F1:I1"/>
    </sheetView>
  </sheetViews>
  <sheetFormatPr defaultRowHeight="15" x14ac:dyDescent="0.25"/>
  <cols>
    <col min="1" max="1" width="4" customWidth="1"/>
    <col min="2" max="2" width="21.140625" customWidth="1"/>
    <col min="3" max="3" width="69.140625" customWidth="1"/>
    <col min="4" max="4" width="19.140625" customWidth="1"/>
    <col min="5" max="5" width="18.140625" customWidth="1"/>
    <col min="6" max="6" width="17.42578125" customWidth="1"/>
    <col min="7" max="7" width="18.85546875" customWidth="1"/>
    <col min="8" max="8" width="18.5703125" customWidth="1"/>
    <col min="9" max="9" width="18.140625" customWidth="1"/>
  </cols>
  <sheetData>
    <row r="1" spans="1:9" ht="39" customHeight="1" x14ac:dyDescent="0.25">
      <c r="A1" s="1"/>
      <c r="B1" s="1"/>
      <c r="C1" s="1"/>
      <c r="D1" s="1"/>
      <c r="E1" s="1"/>
      <c r="F1" s="132" t="s">
        <v>86</v>
      </c>
      <c r="G1" s="132"/>
      <c r="H1" s="132"/>
      <c r="I1" s="132"/>
    </row>
    <row r="2" spans="1:9" ht="89.25" customHeight="1" x14ac:dyDescent="0.25">
      <c r="A2" s="1"/>
      <c r="B2" s="1"/>
      <c r="C2" s="1"/>
      <c r="D2" s="1"/>
      <c r="E2" s="1"/>
      <c r="F2" s="133" t="s">
        <v>1</v>
      </c>
      <c r="G2" s="133"/>
      <c r="H2" s="133"/>
      <c r="I2" s="133"/>
    </row>
    <row r="3" spans="1:9" ht="42" customHeight="1" x14ac:dyDescent="0.25">
      <c r="A3" s="134" t="s">
        <v>2</v>
      </c>
      <c r="B3" s="134"/>
      <c r="C3" s="134"/>
      <c r="D3" s="134"/>
      <c r="E3" s="134"/>
      <c r="F3" s="134"/>
      <c r="G3" s="134"/>
      <c r="H3" s="134"/>
      <c r="I3" s="134"/>
    </row>
    <row r="4" spans="1:9" ht="14.25" customHeight="1" x14ac:dyDescent="0.25">
      <c r="A4" s="135" t="s">
        <v>3</v>
      </c>
      <c r="B4" s="135"/>
      <c r="C4" s="135"/>
      <c r="D4" s="135" t="s">
        <v>4</v>
      </c>
      <c r="E4" s="135"/>
      <c r="F4" s="135"/>
      <c r="G4" s="135"/>
      <c r="H4" s="135"/>
      <c r="I4" s="135"/>
    </row>
    <row r="5" spans="1:9" x14ac:dyDescent="0.25">
      <c r="A5" s="109" t="s">
        <v>5</v>
      </c>
      <c r="B5" s="135" t="s">
        <v>6</v>
      </c>
      <c r="C5" s="135" t="s">
        <v>7</v>
      </c>
      <c r="D5" s="135" t="s">
        <v>8</v>
      </c>
      <c r="E5" s="135" t="s">
        <v>9</v>
      </c>
      <c r="F5" s="135"/>
      <c r="G5" s="135"/>
      <c r="H5" s="135"/>
      <c r="I5" s="135"/>
    </row>
    <row r="6" spans="1:9" x14ac:dyDescent="0.25">
      <c r="A6" s="109"/>
      <c r="B6" s="135"/>
      <c r="C6" s="135"/>
      <c r="D6" s="135"/>
      <c r="E6" s="107" t="s">
        <v>10</v>
      </c>
      <c r="F6" s="3" t="s">
        <v>11</v>
      </c>
      <c r="G6" s="3" t="s">
        <v>12</v>
      </c>
      <c r="H6" s="3" t="s">
        <v>13</v>
      </c>
      <c r="I6" s="3" t="s">
        <v>14</v>
      </c>
    </row>
    <row r="7" spans="1:9" x14ac:dyDescent="0.25">
      <c r="A7" s="107">
        <v>1</v>
      </c>
      <c r="B7" s="107">
        <v>2</v>
      </c>
      <c r="C7" s="107">
        <v>3</v>
      </c>
      <c r="D7" s="107">
        <v>4</v>
      </c>
      <c r="E7" s="107">
        <v>5</v>
      </c>
      <c r="F7" s="3">
        <v>6</v>
      </c>
      <c r="G7" s="3">
        <v>7</v>
      </c>
      <c r="H7" s="3">
        <v>8</v>
      </c>
      <c r="I7" s="3">
        <v>9</v>
      </c>
    </row>
    <row r="8" spans="1:9" x14ac:dyDescent="0.25">
      <c r="A8" s="110"/>
      <c r="B8" s="131" t="s">
        <v>15</v>
      </c>
      <c r="C8" s="111" t="s">
        <v>16</v>
      </c>
      <c r="D8" s="4" t="s">
        <v>10</v>
      </c>
      <c r="E8" s="5">
        <f>SUM(F8:I8)</f>
        <v>2407833.8968699998</v>
      </c>
      <c r="F8" s="5">
        <f>F9+F10+F11</f>
        <v>652988.75286999997</v>
      </c>
      <c r="G8" s="7">
        <f>G9+G10+G11</f>
        <v>398228.41500000004</v>
      </c>
      <c r="H8" s="7">
        <f>H9+H10+H11</f>
        <v>759581.84900000005</v>
      </c>
      <c r="I8" s="6">
        <f>I9+I10+I11</f>
        <v>597034.88</v>
      </c>
    </row>
    <row r="9" spans="1:9" ht="30" customHeight="1" x14ac:dyDescent="0.25">
      <c r="A9" s="110"/>
      <c r="B9" s="131"/>
      <c r="C9" s="111"/>
      <c r="D9" s="8" t="s">
        <v>17</v>
      </c>
      <c r="E9" s="9">
        <f>SUM(F9:I9)</f>
        <v>2008076.62775</v>
      </c>
      <c r="F9" s="9">
        <f>F14+F65+F83</f>
        <v>416387.87775000004</v>
      </c>
      <c r="G9" s="10">
        <f>G14+G65+G83</f>
        <v>285290.51</v>
      </c>
      <c r="H9" s="10">
        <f>H14+H65+H83</f>
        <v>709363.36</v>
      </c>
      <c r="I9" s="10">
        <f>I14+I65+I83</f>
        <v>597034.88</v>
      </c>
    </row>
    <row r="10" spans="1:9" ht="27.75" customHeight="1" x14ac:dyDescent="0.25">
      <c r="A10" s="110"/>
      <c r="B10" s="131"/>
      <c r="C10" s="111"/>
      <c r="D10" s="8" t="s">
        <v>18</v>
      </c>
      <c r="E10" s="9">
        <f>SUM(F10:I10)</f>
        <v>280239.56511999998</v>
      </c>
      <c r="F10" s="9">
        <f t="shared" ref="F10:I11" si="0">F15+F66</f>
        <v>156206.87511999998</v>
      </c>
      <c r="G10" s="11">
        <f t="shared" si="0"/>
        <v>112937.905</v>
      </c>
      <c r="H10" s="11">
        <f t="shared" si="0"/>
        <v>11094.785</v>
      </c>
      <c r="I10" s="10">
        <f t="shared" si="0"/>
        <v>0</v>
      </c>
    </row>
    <row r="11" spans="1:9" ht="30" customHeight="1" x14ac:dyDescent="0.25">
      <c r="A11" s="110"/>
      <c r="B11" s="131"/>
      <c r="C11" s="111"/>
      <c r="D11" s="8" t="s">
        <v>19</v>
      </c>
      <c r="E11" s="11">
        <f>SUM(F11:I11)</f>
        <v>119517.704</v>
      </c>
      <c r="F11" s="12">
        <f t="shared" si="0"/>
        <v>80394</v>
      </c>
      <c r="G11" s="12">
        <f t="shared" si="0"/>
        <v>0</v>
      </c>
      <c r="H11" s="97">
        <f t="shared" si="0"/>
        <v>39123.703999999998</v>
      </c>
      <c r="I11" s="12">
        <f t="shared" si="0"/>
        <v>0</v>
      </c>
    </row>
    <row r="12" spans="1:9" hidden="1" x14ac:dyDescent="0.25">
      <c r="A12" s="13"/>
      <c r="B12" s="14"/>
      <c r="C12" s="15"/>
      <c r="D12" s="15"/>
      <c r="E12" s="16"/>
      <c r="F12" s="17"/>
      <c r="G12" s="17"/>
      <c r="H12" s="17"/>
      <c r="I12" s="17"/>
    </row>
    <row r="13" spans="1:9" x14ac:dyDescent="0.25">
      <c r="A13" s="109"/>
      <c r="B13" s="131" t="s">
        <v>20</v>
      </c>
      <c r="C13" s="111" t="s">
        <v>21</v>
      </c>
      <c r="D13" s="4" t="s">
        <v>10</v>
      </c>
      <c r="E13" s="18">
        <f t="shared" ref="E13:E90" si="1">SUM(F13:I13)</f>
        <v>1352350.9828699999</v>
      </c>
      <c r="F13" s="19">
        <f>F14+F15+F16</f>
        <v>470342.42887</v>
      </c>
      <c r="G13" s="21">
        <f>G14+G15+G16</f>
        <v>303308.97499999998</v>
      </c>
      <c r="H13" s="21">
        <f>H14+H15+H16</f>
        <v>475253.17899999989</v>
      </c>
      <c r="I13" s="20">
        <f>I14+I15+I16</f>
        <v>103446.39999999999</v>
      </c>
    </row>
    <row r="14" spans="1:9" ht="30.75" customHeight="1" x14ac:dyDescent="0.25">
      <c r="A14" s="109"/>
      <c r="B14" s="131"/>
      <c r="C14" s="111"/>
      <c r="D14" s="103" t="s">
        <v>17</v>
      </c>
      <c r="E14" s="18">
        <f t="shared" si="1"/>
        <v>977050.77775000001</v>
      </c>
      <c r="F14" s="19">
        <f>F17+F18+F20+F24+F26+F27+F28+F30+F31+F32+F34+F37+F39+F40+F41+F45+F46+F47+F48+F49+F50+F51+F52+F53+F54+F55+F56+F57+F58+F59+F61+F63</f>
        <v>258198.61775000003</v>
      </c>
      <c r="G14" s="20">
        <f t="shared" ref="G14:I14" si="2">G17+G18+G20+G24+G26+G27+G28+G30+G31+G32+G34+G37+G39+G40+G41+G45+G46+G47+G48+G49+G50+G51+G52+G53+G54+G55+G56+G57+G58+G59+G61+G63</f>
        <v>190371.06999999998</v>
      </c>
      <c r="H14" s="20">
        <f t="shared" si="2"/>
        <v>425034.68999999994</v>
      </c>
      <c r="I14" s="20">
        <f t="shared" si="2"/>
        <v>103446.39999999999</v>
      </c>
    </row>
    <row r="15" spans="1:9" ht="41.25" customHeight="1" x14ac:dyDescent="0.25">
      <c r="A15" s="109"/>
      <c r="B15" s="131"/>
      <c r="C15" s="111"/>
      <c r="D15" s="103" t="s">
        <v>18</v>
      </c>
      <c r="E15" s="18">
        <f t="shared" si="1"/>
        <v>272782.50111999997</v>
      </c>
      <c r="F15" s="19">
        <f>F21+F35+F38+F43</f>
        <v>148749.81111999997</v>
      </c>
      <c r="G15" s="21">
        <f>G21+G35+G38+G43+G62</f>
        <v>112937.905</v>
      </c>
      <c r="H15" s="21">
        <f>H21+H35+H38+H43+H62</f>
        <v>11094.785</v>
      </c>
      <c r="I15" s="20">
        <f>I21+I35+I38+I43+I62</f>
        <v>0</v>
      </c>
    </row>
    <row r="16" spans="1:9" ht="27" customHeight="1" x14ac:dyDescent="0.25">
      <c r="A16" s="109"/>
      <c r="B16" s="131"/>
      <c r="C16" s="111"/>
      <c r="D16" s="103" t="s">
        <v>19</v>
      </c>
      <c r="E16" s="98">
        <f t="shared" si="1"/>
        <v>102517.704</v>
      </c>
      <c r="F16" s="20">
        <f>F44+F22+F25</f>
        <v>63394</v>
      </c>
      <c r="G16" s="20">
        <f>G44+G22+G25</f>
        <v>0</v>
      </c>
      <c r="H16" s="21">
        <f>H44+H22+H25</f>
        <v>39123.703999999998</v>
      </c>
      <c r="I16" s="20">
        <f>I44+I22+I25</f>
        <v>0</v>
      </c>
    </row>
    <row r="17" spans="1:12" ht="30.75" customHeight="1" x14ac:dyDescent="0.25">
      <c r="A17" s="102"/>
      <c r="B17" s="25"/>
      <c r="C17" s="8" t="s">
        <v>22</v>
      </c>
      <c r="D17" s="8" t="s">
        <v>23</v>
      </c>
      <c r="E17" s="26">
        <f t="shared" si="1"/>
        <v>6235.74</v>
      </c>
      <c r="F17" s="27">
        <f>20689.8-14419.8-34.26</f>
        <v>6235.74</v>
      </c>
      <c r="G17" s="28">
        <v>0</v>
      </c>
      <c r="H17" s="28">
        <v>0</v>
      </c>
      <c r="I17" s="28">
        <v>0</v>
      </c>
    </row>
    <row r="18" spans="1:12" ht="30.75" customHeight="1" x14ac:dyDescent="0.25">
      <c r="A18" s="102"/>
      <c r="B18" s="25"/>
      <c r="C18" s="8" t="s">
        <v>24</v>
      </c>
      <c r="D18" s="8" t="s">
        <v>23</v>
      </c>
      <c r="E18" s="26">
        <f t="shared" si="1"/>
        <v>2966.94</v>
      </c>
      <c r="F18" s="27">
        <f>3000-33.06</f>
        <v>2966.94</v>
      </c>
      <c r="G18" s="28">
        <v>0</v>
      </c>
      <c r="H18" s="28">
        <v>0</v>
      </c>
      <c r="I18" s="28">
        <v>0</v>
      </c>
    </row>
    <row r="19" spans="1:12" x14ac:dyDescent="0.25">
      <c r="A19" s="112"/>
      <c r="B19" s="112"/>
      <c r="C19" s="115" t="s">
        <v>25</v>
      </c>
      <c r="D19" s="29" t="s">
        <v>26</v>
      </c>
      <c r="E19" s="30">
        <f t="shared" si="1"/>
        <v>184301.74</v>
      </c>
      <c r="F19" s="31">
        <f>F20+F22+F21</f>
        <v>52440.049999999996</v>
      </c>
      <c r="G19" s="31">
        <f>G20+G22+G21</f>
        <v>75000</v>
      </c>
      <c r="H19" s="31">
        <f>H20+H22+H21</f>
        <v>56861.69</v>
      </c>
      <c r="I19" s="32">
        <f>I20+I22</f>
        <v>0</v>
      </c>
    </row>
    <row r="20" spans="1:12" ht="29.25" customHeight="1" x14ac:dyDescent="0.25">
      <c r="A20" s="113"/>
      <c r="B20" s="113"/>
      <c r="C20" s="116"/>
      <c r="D20" s="8" t="s">
        <v>23</v>
      </c>
      <c r="E20" s="33">
        <f t="shared" si="1"/>
        <v>150155.64000000001</v>
      </c>
      <c r="F20" s="27">
        <f>3000+1000+2000+2000+2000+12440.05-4146.1</f>
        <v>18293.949999999997</v>
      </c>
      <c r="G20" s="28">
        <f>380232-320232+15000</f>
        <v>75000</v>
      </c>
      <c r="H20" s="27">
        <f>311231-257151.47+17782.16-15000</f>
        <v>56861.69</v>
      </c>
      <c r="I20" s="28"/>
    </row>
    <row r="21" spans="1:12" ht="30.75" customHeight="1" x14ac:dyDescent="0.25">
      <c r="A21" s="113"/>
      <c r="B21" s="113"/>
      <c r="C21" s="116"/>
      <c r="D21" s="8" t="s">
        <v>18</v>
      </c>
      <c r="E21" s="33">
        <f t="shared" si="1"/>
        <v>10000</v>
      </c>
      <c r="F21" s="27">
        <v>10000</v>
      </c>
      <c r="G21" s="28">
        <v>0</v>
      </c>
      <c r="H21" s="28">
        <v>0</v>
      </c>
      <c r="I21" s="28">
        <v>0</v>
      </c>
    </row>
    <row r="22" spans="1:12" ht="27.75" customHeight="1" x14ac:dyDescent="0.25">
      <c r="A22" s="114"/>
      <c r="B22" s="114"/>
      <c r="C22" s="117"/>
      <c r="D22" s="8" t="s">
        <v>19</v>
      </c>
      <c r="E22" s="34">
        <f t="shared" si="1"/>
        <v>24146.1</v>
      </c>
      <c r="F22" s="28">
        <f>20000+4146.1</f>
        <v>24146.1</v>
      </c>
      <c r="G22" s="28">
        <v>0</v>
      </c>
      <c r="H22" s="28">
        <v>0</v>
      </c>
      <c r="I22" s="28">
        <v>0</v>
      </c>
    </row>
    <row r="23" spans="1:12" x14ac:dyDescent="0.25">
      <c r="A23" s="112"/>
      <c r="B23" s="112"/>
      <c r="C23" s="115" t="s">
        <v>27</v>
      </c>
      <c r="D23" s="29" t="s">
        <v>26</v>
      </c>
      <c r="E23" s="30">
        <f t="shared" si="1"/>
        <v>43394</v>
      </c>
      <c r="F23" s="35">
        <f>SUM(F24:F25)</f>
        <v>43394</v>
      </c>
      <c r="G23" s="35">
        <f>SUM(G24:G25)</f>
        <v>0</v>
      </c>
      <c r="H23" s="35">
        <f>SUM(H24:H25)</f>
        <v>0</v>
      </c>
      <c r="I23" s="35">
        <f>SUM(I24:I25)</f>
        <v>0</v>
      </c>
    </row>
    <row r="24" spans="1:12" ht="30" customHeight="1" x14ac:dyDescent="0.25">
      <c r="A24" s="113"/>
      <c r="B24" s="113"/>
      <c r="C24" s="116"/>
      <c r="D24" s="8" t="s">
        <v>23</v>
      </c>
      <c r="E24" s="34">
        <f t="shared" si="1"/>
        <v>4146.1000000000004</v>
      </c>
      <c r="F24" s="28">
        <f>4146.1</f>
        <v>4146.1000000000004</v>
      </c>
      <c r="G24" s="28"/>
      <c r="H24" s="28"/>
      <c r="I24" s="28"/>
    </row>
    <row r="25" spans="1:12" ht="28.5" customHeight="1" x14ac:dyDescent="0.25">
      <c r="A25" s="114"/>
      <c r="B25" s="114"/>
      <c r="C25" s="117"/>
      <c r="D25" s="8" t="s">
        <v>19</v>
      </c>
      <c r="E25" s="34">
        <f t="shared" si="1"/>
        <v>39247.9</v>
      </c>
      <c r="F25" s="27">
        <f>43393.8+0.2-4146.1</f>
        <v>39247.9</v>
      </c>
      <c r="G25" s="28">
        <v>0</v>
      </c>
      <c r="H25" s="28">
        <v>0</v>
      </c>
      <c r="I25" s="28">
        <v>0</v>
      </c>
    </row>
    <row r="26" spans="1:12" ht="31.5" customHeight="1" x14ac:dyDescent="0.25">
      <c r="A26" s="106"/>
      <c r="B26" s="8"/>
      <c r="C26" s="8" t="s">
        <v>28</v>
      </c>
      <c r="D26" s="8" t="s">
        <v>23</v>
      </c>
      <c r="E26" s="33">
        <f t="shared" si="1"/>
        <v>3034.92</v>
      </c>
      <c r="F26" s="27">
        <f>3788.5-467.48-150-71.1-65</f>
        <v>3034.92</v>
      </c>
      <c r="G26" s="28">
        <v>0</v>
      </c>
      <c r="H26" s="28">
        <v>0</v>
      </c>
      <c r="I26" s="28">
        <v>0</v>
      </c>
    </row>
    <row r="27" spans="1:12" ht="31.5" customHeight="1" x14ac:dyDescent="0.25">
      <c r="A27" s="106"/>
      <c r="B27" s="8"/>
      <c r="C27" s="8" t="s">
        <v>29</v>
      </c>
      <c r="D27" s="8" t="s">
        <v>23</v>
      </c>
      <c r="E27" s="37">
        <f t="shared" si="1"/>
        <v>3821.35</v>
      </c>
      <c r="F27" s="27">
        <f>4470.2-445.5-203.35</f>
        <v>3821.35</v>
      </c>
      <c r="G27" s="28"/>
      <c r="H27" s="28"/>
      <c r="I27" s="28"/>
    </row>
    <row r="28" spans="1:12" ht="30.75" customHeight="1" x14ac:dyDescent="0.25">
      <c r="A28" s="106"/>
      <c r="B28" s="8"/>
      <c r="C28" s="8" t="s">
        <v>30</v>
      </c>
      <c r="D28" s="8" t="s">
        <v>23</v>
      </c>
      <c r="E28" s="37">
        <f t="shared" si="1"/>
        <v>1779.7199999999998</v>
      </c>
      <c r="F28" s="38">
        <f>4717-2000-770.61-98-68.67</f>
        <v>1779.7199999999998</v>
      </c>
      <c r="G28" s="28"/>
      <c r="H28" s="28"/>
      <c r="I28" s="28"/>
    </row>
    <row r="29" spans="1:12" ht="29.25" hidden="1" customHeight="1" x14ac:dyDescent="0.25">
      <c r="A29" s="106"/>
      <c r="B29" s="8"/>
      <c r="C29" s="8" t="s">
        <v>31</v>
      </c>
      <c r="D29" s="8" t="s">
        <v>23</v>
      </c>
      <c r="E29" s="37">
        <f t="shared" si="1"/>
        <v>0</v>
      </c>
      <c r="F29" s="38">
        <f>3500-3500</f>
        <v>0</v>
      </c>
      <c r="G29" s="28"/>
      <c r="H29" s="28"/>
      <c r="I29" s="28"/>
    </row>
    <row r="30" spans="1:12" ht="27.75" customHeight="1" x14ac:dyDescent="0.25">
      <c r="A30" s="106"/>
      <c r="B30" s="8"/>
      <c r="C30" s="8" t="s">
        <v>32</v>
      </c>
      <c r="D30" s="8" t="s">
        <v>23</v>
      </c>
      <c r="E30" s="37">
        <f t="shared" si="1"/>
        <v>2352.63</v>
      </c>
      <c r="F30" s="38">
        <f>2421-68.37</f>
        <v>2352.63</v>
      </c>
      <c r="G30" s="28"/>
      <c r="H30" s="28"/>
      <c r="I30" s="28"/>
    </row>
    <row r="31" spans="1:12" ht="28.5" customHeight="1" x14ac:dyDescent="0.25">
      <c r="A31" s="106"/>
      <c r="B31" s="8"/>
      <c r="C31" s="8" t="s">
        <v>33</v>
      </c>
      <c r="D31" s="8" t="s">
        <v>23</v>
      </c>
      <c r="E31" s="37">
        <f t="shared" si="1"/>
        <v>17739.400000000001</v>
      </c>
      <c r="F31" s="38">
        <f>22739.4-5000</f>
        <v>17739.400000000001</v>
      </c>
      <c r="G31" s="28"/>
      <c r="H31" s="39"/>
      <c r="I31" s="39"/>
    </row>
    <row r="32" spans="1:12" ht="28.5" customHeight="1" x14ac:dyDescent="0.25">
      <c r="A32" s="106"/>
      <c r="B32" s="8"/>
      <c r="C32" s="8" t="s">
        <v>34</v>
      </c>
      <c r="D32" s="8" t="s">
        <v>23</v>
      </c>
      <c r="E32" s="33">
        <f t="shared" si="1"/>
        <v>146098.77000000002</v>
      </c>
      <c r="F32" s="28">
        <f>39482.1+20000+150+40000+5000+25000</f>
        <v>129632.1</v>
      </c>
      <c r="G32" s="108">
        <f>100000-20000-40000-23550+16.67</f>
        <v>16466.669999999998</v>
      </c>
      <c r="H32" s="39">
        <v>0</v>
      </c>
      <c r="I32" s="39">
        <v>0</v>
      </c>
      <c r="K32">
        <v>16.670000000000002</v>
      </c>
      <c r="L32" t="s">
        <v>85</v>
      </c>
    </row>
    <row r="33" spans="1:9" x14ac:dyDescent="0.25">
      <c r="A33" s="122"/>
      <c r="B33" s="122"/>
      <c r="C33" s="115" t="s">
        <v>35</v>
      </c>
      <c r="D33" s="29" t="s">
        <v>26</v>
      </c>
      <c r="E33" s="40">
        <f t="shared" si="1"/>
        <v>91068.98000000001</v>
      </c>
      <c r="F33" s="31">
        <f>F34+F35</f>
        <v>51574.68</v>
      </c>
      <c r="G33" s="31">
        <f>G34+G35</f>
        <v>39494.300000000003</v>
      </c>
      <c r="H33" s="41">
        <f>H34+H35</f>
        <v>0</v>
      </c>
      <c r="I33" s="41">
        <f>I34+I35</f>
        <v>0</v>
      </c>
    </row>
    <row r="34" spans="1:9" ht="30.75" customHeight="1" x14ac:dyDescent="0.25">
      <c r="A34" s="123"/>
      <c r="B34" s="123"/>
      <c r="C34" s="116"/>
      <c r="D34" s="8" t="s">
        <v>23</v>
      </c>
      <c r="E34" s="42">
        <f t="shared" si="1"/>
        <v>30111.18</v>
      </c>
      <c r="F34" s="43">
        <f>36641-3333.885-3065.71-1535-8515.925</f>
        <v>20190.48</v>
      </c>
      <c r="G34" s="43">
        <f>62152.9-18572.08-29573.6-4086.6+0.08</f>
        <v>9920.7000000000007</v>
      </c>
      <c r="H34" s="44">
        <v>0</v>
      </c>
      <c r="I34" s="44">
        <v>0</v>
      </c>
    </row>
    <row r="35" spans="1:9" ht="29.25" customHeight="1" x14ac:dyDescent="0.25">
      <c r="A35" s="124"/>
      <c r="B35" s="124"/>
      <c r="C35" s="117"/>
      <c r="D35" s="8" t="s">
        <v>18</v>
      </c>
      <c r="E35" s="42">
        <f>SUM(F35:I35)</f>
        <v>60957.8</v>
      </c>
      <c r="F35" s="43">
        <v>31384.2</v>
      </c>
      <c r="G35" s="43">
        <v>29573.599999999999</v>
      </c>
      <c r="H35" s="44">
        <v>0</v>
      </c>
      <c r="I35" s="44">
        <v>0</v>
      </c>
    </row>
    <row r="36" spans="1:9" x14ac:dyDescent="0.25">
      <c r="A36" s="122"/>
      <c r="B36" s="122"/>
      <c r="C36" s="115" t="s">
        <v>36</v>
      </c>
      <c r="D36" s="45" t="s">
        <v>26</v>
      </c>
      <c r="E36" s="40">
        <f t="shared" si="1"/>
        <v>93649.540000000008</v>
      </c>
      <c r="F36" s="31">
        <f>F37+F38</f>
        <v>53162.74</v>
      </c>
      <c r="G36" s="31">
        <f>G37+G38</f>
        <v>40486.800000000003</v>
      </c>
      <c r="H36" s="32">
        <f>H37+H38</f>
        <v>0</v>
      </c>
      <c r="I36" s="32">
        <f>I37+I38</f>
        <v>0</v>
      </c>
    </row>
    <row r="37" spans="1:9" ht="30" customHeight="1" x14ac:dyDescent="0.25">
      <c r="A37" s="123"/>
      <c r="B37" s="123"/>
      <c r="C37" s="116"/>
      <c r="D37" s="8" t="s">
        <v>23</v>
      </c>
      <c r="E37" s="42">
        <f t="shared" si="1"/>
        <v>34230.239999999998</v>
      </c>
      <c r="F37" s="43">
        <f>29561.5+3203.3-12194.16+2000</f>
        <v>22570.639999999999</v>
      </c>
      <c r="G37" s="43">
        <f>13659.6-2000</f>
        <v>11659.6</v>
      </c>
      <c r="H37" s="46">
        <v>0</v>
      </c>
      <c r="I37" s="46">
        <v>0</v>
      </c>
    </row>
    <row r="38" spans="1:9" ht="31.5" customHeight="1" x14ac:dyDescent="0.25">
      <c r="A38" s="124"/>
      <c r="B38" s="124"/>
      <c r="C38" s="117"/>
      <c r="D38" s="8" t="s">
        <v>18</v>
      </c>
      <c r="E38" s="42">
        <f t="shared" si="1"/>
        <v>59419.3</v>
      </c>
      <c r="F38" s="43">
        <v>30592.1</v>
      </c>
      <c r="G38" s="43">
        <v>28827.200000000001</v>
      </c>
      <c r="H38" s="46">
        <v>0</v>
      </c>
      <c r="I38" s="46">
        <v>0</v>
      </c>
    </row>
    <row r="39" spans="1:9" ht="29.25" customHeight="1" x14ac:dyDescent="0.25">
      <c r="A39" s="106"/>
      <c r="B39" s="8"/>
      <c r="C39" s="8" t="s">
        <v>37</v>
      </c>
      <c r="D39" s="8" t="s">
        <v>23</v>
      </c>
      <c r="E39" s="33">
        <f t="shared" si="1"/>
        <v>288688.5</v>
      </c>
      <c r="F39" s="28">
        <f>1977.3+56000-56000-1977.3</f>
        <v>2.9558577807620168E-12</v>
      </c>
      <c r="G39" s="28">
        <f>288688.5-140000-32688.5+32688.5-118688.5</f>
        <v>30000</v>
      </c>
      <c r="H39" s="27">
        <f>140000-43311.51+43311.51+118688.5</f>
        <v>258688.5</v>
      </c>
      <c r="I39" s="28"/>
    </row>
    <row r="40" spans="1:9" ht="33.75" customHeight="1" x14ac:dyDescent="0.25">
      <c r="A40" s="106"/>
      <c r="B40" s="8"/>
      <c r="C40" s="8" t="s">
        <v>38</v>
      </c>
      <c r="D40" s="8" t="s">
        <v>23</v>
      </c>
      <c r="E40" s="47">
        <f t="shared" si="1"/>
        <v>7845.7170000000006</v>
      </c>
      <c r="F40" s="48">
        <f>7328.7+1500-982.983</f>
        <v>7845.7170000000006</v>
      </c>
      <c r="G40" s="28">
        <v>0</v>
      </c>
      <c r="H40" s="28">
        <v>0</v>
      </c>
      <c r="I40" s="28">
        <v>0</v>
      </c>
    </row>
    <row r="41" spans="1:9" ht="33.75" customHeight="1" x14ac:dyDescent="0.25">
      <c r="A41" s="106"/>
      <c r="B41" s="8"/>
      <c r="C41" s="8" t="s">
        <v>39</v>
      </c>
      <c r="D41" s="8" t="s">
        <v>23</v>
      </c>
      <c r="E41" s="33">
        <f t="shared" si="1"/>
        <v>17125.12</v>
      </c>
      <c r="F41" s="27">
        <f>14969.5-5006.1+5500+1683.59-21.87</f>
        <v>17125.12</v>
      </c>
      <c r="G41" s="28">
        <v>0</v>
      </c>
      <c r="H41" s="28">
        <v>0</v>
      </c>
      <c r="I41" s="28">
        <v>0</v>
      </c>
    </row>
    <row r="42" spans="1:9" x14ac:dyDescent="0.25">
      <c r="A42" s="121"/>
      <c r="B42" s="122"/>
      <c r="C42" s="115" t="s">
        <v>40</v>
      </c>
      <c r="D42" s="45" t="s">
        <v>26</v>
      </c>
      <c r="E42" s="49">
        <f t="shared" si="1"/>
        <v>181947.48087</v>
      </c>
      <c r="F42" s="50">
        <f>F43+F44+F45</f>
        <v>77191.886870000002</v>
      </c>
      <c r="G42" s="52">
        <f>G43+G44+G45</f>
        <v>54537.105000000003</v>
      </c>
      <c r="H42" s="52">
        <f>H43+H44+H45</f>
        <v>50218.489000000001</v>
      </c>
      <c r="I42" s="35">
        <f>I43+I44+I45</f>
        <v>0</v>
      </c>
    </row>
    <row r="43" spans="1:9" ht="30" customHeight="1" x14ac:dyDescent="0.25">
      <c r="A43" s="121"/>
      <c r="B43" s="123"/>
      <c r="C43" s="116"/>
      <c r="D43" s="8" t="s">
        <v>41</v>
      </c>
      <c r="E43" s="53">
        <f t="shared" si="1"/>
        <v>142405.40111999999</v>
      </c>
      <c r="F43" s="54">
        <v>76773.511119999996</v>
      </c>
      <c r="G43" s="55">
        <v>54537.105000000003</v>
      </c>
      <c r="H43" s="55">
        <v>11094.785</v>
      </c>
      <c r="I43" s="28">
        <v>0</v>
      </c>
    </row>
    <row r="44" spans="1:9" ht="31.5" customHeight="1" x14ac:dyDescent="0.25">
      <c r="A44" s="121"/>
      <c r="B44" s="123"/>
      <c r="C44" s="116"/>
      <c r="D44" s="8" t="s">
        <v>19</v>
      </c>
      <c r="E44" s="91">
        <f t="shared" si="1"/>
        <v>39123.703999999998</v>
      </c>
      <c r="F44" s="56">
        <f>9585.765-3195.255-6390.51</f>
        <v>0</v>
      </c>
      <c r="G44" s="57">
        <v>0</v>
      </c>
      <c r="H44" s="55">
        <v>39123.703999999998</v>
      </c>
      <c r="I44" s="28"/>
    </row>
    <row r="45" spans="1:9" ht="30" customHeight="1" x14ac:dyDescent="0.25">
      <c r="A45" s="106"/>
      <c r="B45" s="124"/>
      <c r="C45" s="117"/>
      <c r="D45" s="8" t="s">
        <v>23</v>
      </c>
      <c r="E45" s="53">
        <f t="shared" si="1"/>
        <v>418.37574999999998</v>
      </c>
      <c r="F45" s="54">
        <v>418.37574999999998</v>
      </c>
      <c r="G45" s="28">
        <v>0</v>
      </c>
      <c r="H45" s="28">
        <v>0</v>
      </c>
      <c r="I45" s="28">
        <v>0</v>
      </c>
    </row>
    <row r="46" spans="1:9" ht="30.75" customHeight="1" x14ac:dyDescent="0.25">
      <c r="A46" s="102"/>
      <c r="B46" s="25"/>
      <c r="C46" s="8" t="s">
        <v>42</v>
      </c>
      <c r="D46" s="8" t="s">
        <v>23</v>
      </c>
      <c r="E46" s="33">
        <f t="shared" si="1"/>
        <v>1909.9</v>
      </c>
      <c r="F46" s="27">
        <v>0</v>
      </c>
      <c r="G46" s="27">
        <v>1909.9</v>
      </c>
      <c r="H46" s="58">
        <v>0</v>
      </c>
      <c r="I46" s="58">
        <v>0</v>
      </c>
    </row>
    <row r="47" spans="1:9" ht="29.25" customHeight="1" x14ac:dyDescent="0.25">
      <c r="A47" s="102"/>
      <c r="B47" s="25"/>
      <c r="C47" s="8" t="s">
        <v>43</v>
      </c>
      <c r="D47" s="8" t="s">
        <v>23</v>
      </c>
      <c r="E47" s="33">
        <f t="shared" si="1"/>
        <v>41542.199999999997</v>
      </c>
      <c r="F47" s="27">
        <v>0</v>
      </c>
      <c r="G47" s="27">
        <v>0</v>
      </c>
      <c r="H47" s="27">
        <f>31542.2</f>
        <v>31542.2</v>
      </c>
      <c r="I47" s="27">
        <v>10000</v>
      </c>
    </row>
    <row r="48" spans="1:9" ht="32.25" customHeight="1" x14ac:dyDescent="0.25">
      <c r="A48" s="102"/>
      <c r="B48" s="25"/>
      <c r="C48" s="8" t="s">
        <v>44</v>
      </c>
      <c r="D48" s="8" t="s">
        <v>23</v>
      </c>
      <c r="E48" s="33">
        <f t="shared" si="1"/>
        <v>31267.599999999999</v>
      </c>
      <c r="F48" s="27">
        <v>0</v>
      </c>
      <c r="G48" s="27">
        <v>0</v>
      </c>
      <c r="H48" s="27">
        <v>21267.599999999999</v>
      </c>
      <c r="I48" s="27">
        <v>10000</v>
      </c>
    </row>
    <row r="49" spans="1:9" ht="32.25" customHeight="1" x14ac:dyDescent="0.25">
      <c r="A49" s="102"/>
      <c r="B49" s="25"/>
      <c r="C49" s="59" t="s">
        <v>45</v>
      </c>
      <c r="D49" s="8" t="s">
        <v>23</v>
      </c>
      <c r="E49" s="33">
        <f t="shared" si="1"/>
        <v>15285</v>
      </c>
      <c r="F49" s="27">
        <v>0</v>
      </c>
      <c r="G49" s="27">
        <f>13396.4-13396.4</f>
        <v>0</v>
      </c>
      <c r="H49" s="27">
        <v>1888.6</v>
      </c>
      <c r="I49" s="27">
        <v>13396.4</v>
      </c>
    </row>
    <row r="50" spans="1:9" ht="29.25" customHeight="1" x14ac:dyDescent="0.25">
      <c r="A50" s="102"/>
      <c r="B50" s="25"/>
      <c r="C50" s="8" t="s">
        <v>46</v>
      </c>
      <c r="D50" s="8" t="s">
        <v>23</v>
      </c>
      <c r="E50" s="33">
        <f t="shared" si="1"/>
        <v>38488.800000000003</v>
      </c>
      <c r="F50" s="27">
        <v>0</v>
      </c>
      <c r="G50" s="27">
        <f>20000-20000</f>
        <v>0</v>
      </c>
      <c r="H50" s="27">
        <v>18488.8</v>
      </c>
      <c r="I50" s="27">
        <v>20000</v>
      </c>
    </row>
    <row r="51" spans="1:9" ht="29.25" customHeight="1" x14ac:dyDescent="0.25">
      <c r="A51" s="102"/>
      <c r="B51" s="25"/>
      <c r="C51" s="8" t="s">
        <v>47</v>
      </c>
      <c r="D51" s="8" t="s">
        <v>23</v>
      </c>
      <c r="E51" s="33">
        <f t="shared" si="1"/>
        <v>2757.7</v>
      </c>
      <c r="F51" s="27">
        <v>0</v>
      </c>
      <c r="G51" s="27">
        <f>2757.7-2757.7</f>
        <v>0</v>
      </c>
      <c r="H51" s="27">
        <v>2757.7</v>
      </c>
      <c r="I51" s="27"/>
    </row>
    <row r="52" spans="1:9" ht="30.75" customHeight="1" x14ac:dyDescent="0.25">
      <c r="A52" s="102"/>
      <c r="B52" s="25"/>
      <c r="C52" s="8" t="s">
        <v>48</v>
      </c>
      <c r="D52" s="8" t="s">
        <v>23</v>
      </c>
      <c r="E52" s="42">
        <f t="shared" si="1"/>
        <v>8539.6</v>
      </c>
      <c r="F52" s="43">
        <v>0</v>
      </c>
      <c r="G52" s="43">
        <v>0</v>
      </c>
      <c r="H52" s="43">
        <v>8539.6</v>
      </c>
      <c r="I52" s="43">
        <v>0</v>
      </c>
    </row>
    <row r="53" spans="1:9" ht="29.25" customHeight="1" x14ac:dyDescent="0.25">
      <c r="A53" s="102"/>
      <c r="B53" s="25"/>
      <c r="C53" s="8" t="s">
        <v>49</v>
      </c>
      <c r="D53" s="8" t="s">
        <v>23</v>
      </c>
      <c r="E53" s="42">
        <f t="shared" si="1"/>
        <v>3003.4</v>
      </c>
      <c r="F53" s="43">
        <f>3065.71-50+50-3003.33-62.38</f>
        <v>1.0658141036401503E-13</v>
      </c>
      <c r="G53" s="43">
        <v>3003.4</v>
      </c>
      <c r="H53" s="43">
        <v>0</v>
      </c>
      <c r="I53" s="43">
        <v>0</v>
      </c>
    </row>
    <row r="54" spans="1:9" ht="30.75" customHeight="1" x14ac:dyDescent="0.25">
      <c r="A54" s="102"/>
      <c r="B54" s="25"/>
      <c r="C54" s="8" t="s">
        <v>50</v>
      </c>
      <c r="D54" s="8" t="s">
        <v>23</v>
      </c>
      <c r="E54" s="60">
        <f t="shared" si="1"/>
        <v>45.435000000000002</v>
      </c>
      <c r="F54" s="61">
        <f>50+50-54.565</f>
        <v>45.435000000000002</v>
      </c>
      <c r="G54" s="43">
        <v>0</v>
      </c>
      <c r="H54" s="43">
        <v>0</v>
      </c>
      <c r="I54" s="43">
        <v>0</v>
      </c>
    </row>
    <row r="55" spans="1:9" ht="30" customHeight="1" x14ac:dyDescent="0.25">
      <c r="A55" s="102"/>
      <c r="B55" s="25"/>
      <c r="C55" s="62" t="s">
        <v>51</v>
      </c>
      <c r="D55" s="62" t="s">
        <v>23</v>
      </c>
      <c r="E55" s="43">
        <f t="shared" si="1"/>
        <v>50050</v>
      </c>
      <c r="F55" s="43">
        <v>0</v>
      </c>
      <c r="G55" s="43">
        <v>0</v>
      </c>
      <c r="H55" s="43">
        <f>50050-50050</f>
        <v>0</v>
      </c>
      <c r="I55" s="43">
        <v>50050</v>
      </c>
    </row>
    <row r="56" spans="1:9" ht="59.25" customHeight="1" x14ac:dyDescent="0.25">
      <c r="A56" s="63"/>
      <c r="B56" s="64"/>
      <c r="C56" s="65" t="s">
        <v>52</v>
      </c>
      <c r="D56" s="62" t="s">
        <v>23</v>
      </c>
      <c r="E56" s="43">
        <f t="shared" si="1"/>
        <v>5600</v>
      </c>
      <c r="F56" s="43">
        <f>5600-5600</f>
        <v>0</v>
      </c>
      <c r="G56" s="43">
        <f>5600</f>
        <v>5600</v>
      </c>
      <c r="H56" s="43">
        <v>0</v>
      </c>
      <c r="I56" s="43">
        <v>0</v>
      </c>
    </row>
    <row r="57" spans="1:9" ht="27.75" customHeight="1" x14ac:dyDescent="0.25">
      <c r="A57" s="63"/>
      <c r="B57" s="64"/>
      <c r="C57" s="65" t="s">
        <v>53</v>
      </c>
      <c r="D57" s="62" t="s">
        <v>23</v>
      </c>
      <c r="E57" s="43">
        <f t="shared" si="1"/>
        <v>1200</v>
      </c>
      <c r="F57" s="43">
        <f>98-98</f>
        <v>0</v>
      </c>
      <c r="G57" s="43">
        <f>8200-7000</f>
        <v>1200</v>
      </c>
      <c r="H57" s="43">
        <f>7700-7700</f>
        <v>0</v>
      </c>
      <c r="I57" s="43">
        <v>0</v>
      </c>
    </row>
    <row r="58" spans="1:9" ht="32.25" customHeight="1" x14ac:dyDescent="0.25">
      <c r="A58" s="63"/>
      <c r="B58" s="64"/>
      <c r="C58" s="65" t="s">
        <v>54</v>
      </c>
      <c r="D58" s="62" t="s">
        <v>23</v>
      </c>
      <c r="E58" s="43">
        <f t="shared" si="1"/>
        <v>610.79999999999995</v>
      </c>
      <c r="F58" s="43">
        <v>0</v>
      </c>
      <c r="G58" s="43">
        <v>610.79999999999995</v>
      </c>
      <c r="H58" s="43">
        <v>0</v>
      </c>
      <c r="I58" s="43">
        <v>0</v>
      </c>
    </row>
    <row r="59" spans="1:9" ht="32.25" customHeight="1" x14ac:dyDescent="0.25">
      <c r="A59" s="63"/>
      <c r="B59" s="64"/>
      <c r="C59" s="65" t="s">
        <v>78</v>
      </c>
      <c r="D59" s="62" t="s">
        <v>23</v>
      </c>
      <c r="E59" s="43">
        <f t="shared" si="1"/>
        <v>5000</v>
      </c>
      <c r="F59" s="43">
        <v>0</v>
      </c>
      <c r="G59" s="43">
        <v>5000</v>
      </c>
      <c r="H59" s="43"/>
      <c r="I59" s="43"/>
    </row>
    <row r="60" spans="1:9" ht="18" customHeight="1" x14ac:dyDescent="0.25">
      <c r="A60" s="112"/>
      <c r="B60" s="112"/>
      <c r="C60" s="136" t="s">
        <v>79</v>
      </c>
      <c r="D60" s="29" t="s">
        <v>26</v>
      </c>
      <c r="E60" s="90">
        <f t="shared" si="1"/>
        <v>50000</v>
      </c>
      <c r="F60" s="90">
        <f>F61+F62</f>
        <v>0</v>
      </c>
      <c r="G60" s="90">
        <f>G61+G62</f>
        <v>25000</v>
      </c>
      <c r="H60" s="90">
        <f>H61+H62</f>
        <v>25000</v>
      </c>
      <c r="I60" s="90" t="s">
        <v>80</v>
      </c>
    </row>
    <row r="61" spans="1:9" ht="28.5" customHeight="1" x14ac:dyDescent="0.25">
      <c r="A61" s="113"/>
      <c r="B61" s="113"/>
      <c r="C61" s="137"/>
      <c r="D61" s="8" t="s">
        <v>23</v>
      </c>
      <c r="E61" s="43">
        <f t="shared" si="1"/>
        <v>50000</v>
      </c>
      <c r="F61" s="43">
        <v>0</v>
      </c>
      <c r="G61" s="43">
        <v>25000</v>
      </c>
      <c r="H61" s="43">
        <v>25000</v>
      </c>
      <c r="I61" s="43">
        <v>0</v>
      </c>
    </row>
    <row r="62" spans="1:9" ht="30" hidden="1" customHeight="1" x14ac:dyDescent="0.25">
      <c r="A62" s="114"/>
      <c r="B62" s="114"/>
      <c r="C62" s="138"/>
      <c r="D62" s="8" t="s">
        <v>18</v>
      </c>
      <c r="E62" s="43">
        <f t="shared" si="1"/>
        <v>0</v>
      </c>
      <c r="F62" s="43">
        <v>0</v>
      </c>
      <c r="G62" s="43"/>
      <c r="H62" s="43"/>
      <c r="I62" s="43">
        <v>0</v>
      </c>
    </row>
    <row r="63" spans="1:9" ht="30" customHeight="1" x14ac:dyDescent="0.25">
      <c r="A63" s="107"/>
      <c r="B63" s="107"/>
      <c r="C63" s="101" t="s">
        <v>82</v>
      </c>
      <c r="D63" s="8" t="s">
        <v>23</v>
      </c>
      <c r="E63" s="43">
        <f t="shared" si="1"/>
        <v>5000</v>
      </c>
      <c r="F63" s="43">
        <v>0</v>
      </c>
      <c r="G63" s="43">
        <v>5000</v>
      </c>
      <c r="H63" s="43">
        <v>0</v>
      </c>
      <c r="I63" s="43">
        <v>0</v>
      </c>
    </row>
    <row r="64" spans="1:9" x14ac:dyDescent="0.25">
      <c r="A64" s="112"/>
      <c r="B64" s="125" t="s">
        <v>55</v>
      </c>
      <c r="C64" s="128" t="s">
        <v>56</v>
      </c>
      <c r="D64" s="4" t="s">
        <v>10</v>
      </c>
      <c r="E64" s="99">
        <f t="shared" si="1"/>
        <v>893356.33400000003</v>
      </c>
      <c r="F64" s="80">
        <f>F65+F66+F67</f>
        <v>145800.75399999996</v>
      </c>
      <c r="G64" s="66">
        <f>G65+G66+G67</f>
        <v>57528.53</v>
      </c>
      <c r="H64" s="66">
        <f>H65+H66+H67</f>
        <v>237543.77</v>
      </c>
      <c r="I64" s="66">
        <f>I65+I66+I67</f>
        <v>452483.28</v>
      </c>
    </row>
    <row r="65" spans="1:9" ht="28.5" customHeight="1" x14ac:dyDescent="0.25">
      <c r="A65" s="113"/>
      <c r="B65" s="126"/>
      <c r="C65" s="129"/>
      <c r="D65" s="103" t="s">
        <v>17</v>
      </c>
      <c r="E65" s="67">
        <f t="shared" si="1"/>
        <v>868899.27</v>
      </c>
      <c r="F65" s="66">
        <f>F69+F71+F72+F73+F76+F78+F80+F81</f>
        <v>121343.68999999997</v>
      </c>
      <c r="G65" s="66">
        <f t="shared" ref="G65:I65" si="3">G69+G71+G72+G73+G76+G78+G80+G81</f>
        <v>57528.53</v>
      </c>
      <c r="H65" s="66">
        <f t="shared" si="3"/>
        <v>237543.77</v>
      </c>
      <c r="I65" s="66">
        <f t="shared" si="3"/>
        <v>452483.28</v>
      </c>
    </row>
    <row r="66" spans="1:9" ht="42" customHeight="1" x14ac:dyDescent="0.25">
      <c r="A66" s="113"/>
      <c r="B66" s="126"/>
      <c r="C66" s="129"/>
      <c r="D66" s="103" t="s">
        <v>18</v>
      </c>
      <c r="E66" s="99">
        <f t="shared" si="1"/>
        <v>7457.0640000000003</v>
      </c>
      <c r="F66" s="80">
        <f>F79</f>
        <v>7457.0640000000003</v>
      </c>
      <c r="G66" s="66">
        <f>G79+G70</f>
        <v>0</v>
      </c>
      <c r="H66" s="66">
        <f>H79+H70</f>
        <v>0</v>
      </c>
      <c r="I66" s="66">
        <f>I79+I70</f>
        <v>0</v>
      </c>
    </row>
    <row r="67" spans="1:9" ht="28.5" customHeight="1" x14ac:dyDescent="0.25">
      <c r="A67" s="114"/>
      <c r="B67" s="127"/>
      <c r="C67" s="130"/>
      <c r="D67" s="103" t="s">
        <v>19</v>
      </c>
      <c r="E67" s="67">
        <f t="shared" si="1"/>
        <v>17000</v>
      </c>
      <c r="F67" s="66">
        <f>F70</f>
        <v>17000</v>
      </c>
      <c r="G67" s="66"/>
      <c r="H67" s="66"/>
      <c r="I67" s="66"/>
    </row>
    <row r="68" spans="1:9" x14ac:dyDescent="0.25">
      <c r="A68" s="112"/>
      <c r="B68" s="112"/>
      <c r="C68" s="115" t="s">
        <v>57</v>
      </c>
      <c r="D68" s="68" t="s">
        <v>26</v>
      </c>
      <c r="E68" s="30">
        <f t="shared" si="1"/>
        <v>329273.5</v>
      </c>
      <c r="F68" s="31">
        <f>F69+F70</f>
        <v>27000</v>
      </c>
      <c r="G68" s="31">
        <f>G69+G70</f>
        <v>0</v>
      </c>
      <c r="H68" s="31">
        <f>H69+H70</f>
        <v>122837.9</v>
      </c>
      <c r="I68" s="31">
        <f>I69+I70</f>
        <v>179435.6</v>
      </c>
    </row>
    <row r="69" spans="1:9" ht="27.75" customHeight="1" x14ac:dyDescent="0.25">
      <c r="A69" s="113"/>
      <c r="B69" s="113"/>
      <c r="C69" s="116"/>
      <c r="D69" s="8" t="s">
        <v>23</v>
      </c>
      <c r="E69" s="33">
        <f t="shared" si="1"/>
        <v>312273.5</v>
      </c>
      <c r="F69" s="27">
        <f>30000-20000</f>
        <v>10000</v>
      </c>
      <c r="G69" s="27">
        <f>176435.6+20000-196435.6</f>
        <v>0</v>
      </c>
      <c r="H69" s="27">
        <v>122837.9</v>
      </c>
      <c r="I69" s="27">
        <f>196435.6-17000</f>
        <v>179435.6</v>
      </c>
    </row>
    <row r="70" spans="1:9" ht="27.75" customHeight="1" x14ac:dyDescent="0.25">
      <c r="A70" s="114"/>
      <c r="B70" s="114"/>
      <c r="C70" s="117"/>
      <c r="D70" s="8" t="s">
        <v>19</v>
      </c>
      <c r="E70" s="33">
        <f t="shared" si="1"/>
        <v>17000</v>
      </c>
      <c r="F70" s="27">
        <v>17000</v>
      </c>
      <c r="G70" s="27"/>
      <c r="H70" s="27"/>
      <c r="I70" s="27"/>
    </row>
    <row r="71" spans="1:9" ht="27" customHeight="1" x14ac:dyDescent="0.25">
      <c r="A71" s="102"/>
      <c r="B71" s="102"/>
      <c r="C71" s="8" t="s">
        <v>58</v>
      </c>
      <c r="D71" s="8" t="s">
        <v>23</v>
      </c>
      <c r="E71" s="33">
        <f t="shared" si="1"/>
        <v>37862.200000000004</v>
      </c>
      <c r="F71" s="27">
        <f>10000-5000-50-0.1</f>
        <v>4949.8999999999996</v>
      </c>
      <c r="G71" s="27">
        <f>27912.3+5000-32912.3</f>
        <v>0</v>
      </c>
      <c r="H71" s="27">
        <v>0</v>
      </c>
      <c r="I71" s="27">
        <v>32912.300000000003</v>
      </c>
    </row>
    <row r="72" spans="1:9" ht="27" customHeight="1" x14ac:dyDescent="0.25">
      <c r="A72" s="102"/>
      <c r="B72" s="102"/>
      <c r="C72" s="59" t="s">
        <v>59</v>
      </c>
      <c r="D72" s="8" t="s">
        <v>23</v>
      </c>
      <c r="E72" s="33">
        <f t="shared" si="1"/>
        <v>94674.43</v>
      </c>
      <c r="F72" s="27">
        <f>95674.4-9342.27</f>
        <v>86332.12999999999</v>
      </c>
      <c r="G72" s="27">
        <v>8342.2999999999993</v>
      </c>
      <c r="H72" s="27">
        <v>0</v>
      </c>
      <c r="I72" s="27">
        <v>0</v>
      </c>
    </row>
    <row r="73" spans="1:9" ht="45.75" customHeight="1" x14ac:dyDescent="0.25">
      <c r="A73" s="102"/>
      <c r="B73" s="102"/>
      <c r="C73" s="59" t="s">
        <v>60</v>
      </c>
      <c r="D73" s="8" t="s">
        <v>23</v>
      </c>
      <c r="E73" s="33">
        <f t="shared" si="1"/>
        <v>42205.136999999988</v>
      </c>
      <c r="F73" s="48">
        <f>45825.2-34619.98+12207.53-12954.4-9412.75-665.713</f>
        <v>379.88699999999312</v>
      </c>
      <c r="G73" s="27">
        <v>26412.799999999999</v>
      </c>
      <c r="H73" s="27">
        <v>15412.45</v>
      </c>
      <c r="I73" s="27">
        <v>0</v>
      </c>
    </row>
    <row r="74" spans="1:9" ht="29.25" hidden="1" customHeight="1" x14ac:dyDescent="0.25">
      <c r="A74" s="102"/>
      <c r="B74" s="102"/>
      <c r="C74" s="59" t="s">
        <v>61</v>
      </c>
      <c r="D74" s="8" t="s">
        <v>23</v>
      </c>
      <c r="E74" s="33">
        <f t="shared" si="1"/>
        <v>0</v>
      </c>
      <c r="F74" s="27">
        <f>5160.1-5160.1</f>
        <v>0</v>
      </c>
      <c r="G74" s="27">
        <v>0</v>
      </c>
      <c r="H74" s="27">
        <v>0</v>
      </c>
      <c r="I74" s="27">
        <v>0</v>
      </c>
    </row>
    <row r="75" spans="1:9" ht="30" hidden="1" customHeight="1" x14ac:dyDescent="0.25">
      <c r="A75" s="106"/>
      <c r="B75" s="106"/>
      <c r="C75" s="59" t="s">
        <v>62</v>
      </c>
      <c r="D75" s="8" t="s">
        <v>23</v>
      </c>
      <c r="E75" s="33">
        <f t="shared" si="1"/>
        <v>0</v>
      </c>
      <c r="F75" s="27">
        <f>5000-3203.3+3203.3-5000</f>
        <v>0</v>
      </c>
      <c r="G75" s="27">
        <v>0</v>
      </c>
      <c r="H75" s="27">
        <v>0</v>
      </c>
      <c r="I75" s="27">
        <v>0</v>
      </c>
    </row>
    <row r="76" spans="1:9" ht="30.75" customHeight="1" x14ac:dyDescent="0.25">
      <c r="A76" s="8"/>
      <c r="B76" s="106"/>
      <c r="C76" s="8" t="s">
        <v>63</v>
      </c>
      <c r="D76" s="8" t="s">
        <v>23</v>
      </c>
      <c r="E76" s="33">
        <f t="shared" si="1"/>
        <v>339428.8</v>
      </c>
      <c r="F76" s="27">
        <v>0</v>
      </c>
      <c r="G76" s="27">
        <v>0</v>
      </c>
      <c r="H76" s="27">
        <f>169428.8-15412.45-97722.93+43000</f>
        <v>99293.419999999984</v>
      </c>
      <c r="I76" s="27">
        <f>100000+7000+15412.45+20000+97722.93</f>
        <v>240135.38</v>
      </c>
    </row>
    <row r="77" spans="1:9" x14ac:dyDescent="0.25">
      <c r="A77" s="118"/>
      <c r="B77" s="118"/>
      <c r="C77" s="115" t="s">
        <v>64</v>
      </c>
      <c r="D77" s="29" t="s">
        <v>26</v>
      </c>
      <c r="E77" s="94">
        <f t="shared" si="1"/>
        <v>27138.837</v>
      </c>
      <c r="F77" s="79">
        <f>F78+F79</f>
        <v>27138.837</v>
      </c>
      <c r="G77" s="69">
        <f>G78+G79</f>
        <v>0</v>
      </c>
      <c r="H77" s="69">
        <f>H78+H79</f>
        <v>0</v>
      </c>
      <c r="I77" s="69">
        <f>I78+I79</f>
        <v>0</v>
      </c>
    </row>
    <row r="78" spans="1:9" ht="28.5" customHeight="1" x14ac:dyDescent="0.25">
      <c r="A78" s="119"/>
      <c r="B78" s="119"/>
      <c r="C78" s="116"/>
      <c r="D78" s="8" t="s">
        <v>23</v>
      </c>
      <c r="E78" s="47">
        <f t="shared" si="1"/>
        <v>19681.773000000001</v>
      </c>
      <c r="F78" s="70">
        <f>35+11837.09+5000+2809.683</f>
        <v>19681.773000000001</v>
      </c>
      <c r="G78" s="48">
        <v>0</v>
      </c>
      <c r="H78" s="48">
        <v>0</v>
      </c>
      <c r="I78" s="48">
        <v>0</v>
      </c>
    </row>
    <row r="79" spans="1:9" ht="30.75" customHeight="1" x14ac:dyDescent="0.25">
      <c r="A79" s="120"/>
      <c r="B79" s="120"/>
      <c r="C79" s="117"/>
      <c r="D79" s="8" t="s">
        <v>18</v>
      </c>
      <c r="E79" s="95">
        <f t="shared" si="1"/>
        <v>7457.0640000000003</v>
      </c>
      <c r="F79" s="78">
        <f>11834.2-4377.136</f>
        <v>7457.0640000000003</v>
      </c>
      <c r="G79" s="48">
        <v>0</v>
      </c>
      <c r="H79" s="48">
        <v>0</v>
      </c>
      <c r="I79" s="48">
        <v>0</v>
      </c>
    </row>
    <row r="80" spans="1:9" ht="29.25" customHeight="1" x14ac:dyDescent="0.25">
      <c r="A80" s="105"/>
      <c r="B80" s="105"/>
      <c r="C80" s="104" t="s">
        <v>65</v>
      </c>
      <c r="D80" s="8" t="s">
        <v>23</v>
      </c>
      <c r="E80" s="47">
        <f t="shared" si="1"/>
        <v>19773.43</v>
      </c>
      <c r="F80" s="70">
        <f>44697.58-29697.58-4700-10000-300</f>
        <v>0</v>
      </c>
      <c r="G80" s="48">
        <f>17350+2423.43</f>
        <v>19773.43</v>
      </c>
      <c r="H80" s="48">
        <v>0</v>
      </c>
      <c r="I80" s="48">
        <v>0</v>
      </c>
    </row>
    <row r="81" spans="1:12" ht="48.75" customHeight="1" x14ac:dyDescent="0.25">
      <c r="A81" s="105"/>
      <c r="B81" s="105"/>
      <c r="C81" s="104" t="s">
        <v>76</v>
      </c>
      <c r="D81" s="8" t="s">
        <v>23</v>
      </c>
      <c r="E81" s="47">
        <f t="shared" si="1"/>
        <v>3000</v>
      </c>
      <c r="F81" s="70">
        <v>0</v>
      </c>
      <c r="G81" s="48">
        <v>3000</v>
      </c>
      <c r="H81" s="48"/>
      <c r="I81" s="48"/>
    </row>
    <row r="82" spans="1:12" x14ac:dyDescent="0.25">
      <c r="A82" s="109"/>
      <c r="B82" s="110" t="s">
        <v>66</v>
      </c>
      <c r="C82" s="111" t="s">
        <v>67</v>
      </c>
      <c r="D82" s="103" t="s">
        <v>10</v>
      </c>
      <c r="E82" s="67">
        <f t="shared" si="1"/>
        <v>162126.58000000002</v>
      </c>
      <c r="F82" s="66">
        <f>F83</f>
        <v>36845.57</v>
      </c>
      <c r="G82" s="66">
        <f>G83</f>
        <v>37390.910000000003</v>
      </c>
      <c r="H82" s="73">
        <f>H83</f>
        <v>46784.9</v>
      </c>
      <c r="I82" s="73">
        <f>I83</f>
        <v>41105.199999999997</v>
      </c>
    </row>
    <row r="83" spans="1:12" ht="27.75" customHeight="1" x14ac:dyDescent="0.25">
      <c r="A83" s="109"/>
      <c r="B83" s="110"/>
      <c r="C83" s="111"/>
      <c r="D83" s="103" t="s">
        <v>17</v>
      </c>
      <c r="E83" s="67">
        <f t="shared" si="1"/>
        <v>162126.58000000002</v>
      </c>
      <c r="F83" s="66">
        <f>SUM(F84:F90)</f>
        <v>36845.57</v>
      </c>
      <c r="G83" s="66">
        <f>SUM(G84:G90)</f>
        <v>37390.910000000003</v>
      </c>
      <c r="H83" s="73">
        <f>SUM(H84:H90)</f>
        <v>46784.9</v>
      </c>
      <c r="I83" s="73">
        <f>SUM(I84:I90)</f>
        <v>41105.199999999997</v>
      </c>
    </row>
    <row r="84" spans="1:12" ht="30" customHeight="1" x14ac:dyDescent="0.25">
      <c r="A84" s="102"/>
      <c r="B84" s="102"/>
      <c r="C84" s="8" t="s">
        <v>68</v>
      </c>
      <c r="D84" s="8" t="s">
        <v>23</v>
      </c>
      <c r="E84" s="34">
        <f t="shared" si="1"/>
        <v>94910.5</v>
      </c>
      <c r="F84" s="28">
        <f>24038.8-200+335-150+150-150-75.9</f>
        <v>23947.899999999998</v>
      </c>
      <c r="G84" s="81">
        <f>22993.7-108.7</f>
        <v>22885</v>
      </c>
      <c r="H84" s="28">
        <v>24038.799999999999</v>
      </c>
      <c r="I84" s="28">
        <v>24038.799999999999</v>
      </c>
      <c r="K84">
        <v>-108.7</v>
      </c>
      <c r="L84" t="s">
        <v>83</v>
      </c>
    </row>
    <row r="85" spans="1:12" ht="29.25" customHeight="1" x14ac:dyDescent="0.25">
      <c r="A85" s="102"/>
      <c r="B85" s="102"/>
      <c r="C85" s="8" t="s">
        <v>69</v>
      </c>
      <c r="D85" s="8" t="s">
        <v>23</v>
      </c>
      <c r="E85" s="33">
        <f t="shared" si="1"/>
        <v>16500.77</v>
      </c>
      <c r="F85" s="27">
        <f>7182-5682-571.73-196.6+0.1</f>
        <v>731.77</v>
      </c>
      <c r="G85" s="81">
        <f>1500-95</f>
        <v>1405</v>
      </c>
      <c r="H85" s="28">
        <v>7182</v>
      </c>
      <c r="I85" s="28">
        <v>7182</v>
      </c>
      <c r="K85">
        <v>-95</v>
      </c>
      <c r="L85" t="s">
        <v>83</v>
      </c>
    </row>
    <row r="86" spans="1:12" ht="44.25" customHeight="1" x14ac:dyDescent="0.25">
      <c r="A86" s="102"/>
      <c r="B86" s="102"/>
      <c r="C86" s="8" t="s">
        <v>70</v>
      </c>
      <c r="D86" s="8" t="s">
        <v>23</v>
      </c>
      <c r="E86" s="34">
        <f t="shared" si="1"/>
        <v>500</v>
      </c>
      <c r="F86" s="28">
        <f>2504.2-2504.2</f>
        <v>0</v>
      </c>
      <c r="G86" s="28">
        <v>500</v>
      </c>
      <c r="H86" s="28">
        <v>0</v>
      </c>
      <c r="I86" s="28">
        <v>0</v>
      </c>
    </row>
    <row r="87" spans="1:12" ht="45" customHeight="1" x14ac:dyDescent="0.25">
      <c r="A87" s="102"/>
      <c r="B87" s="102"/>
      <c r="C87" s="8" t="s">
        <v>71</v>
      </c>
      <c r="D87" s="8" t="s">
        <v>23</v>
      </c>
      <c r="E87" s="34">
        <f t="shared" si="1"/>
        <v>6517.4</v>
      </c>
      <c r="F87" s="28">
        <f>3175.8-2675.8-162.3</f>
        <v>337.7</v>
      </c>
      <c r="G87" s="28">
        <v>500</v>
      </c>
      <c r="H87" s="28">
        <v>5679.7</v>
      </c>
      <c r="I87" s="28">
        <v>0</v>
      </c>
    </row>
    <row r="88" spans="1:12" ht="45" customHeight="1" x14ac:dyDescent="0.25">
      <c r="A88" s="102"/>
      <c r="B88" s="102"/>
      <c r="C88" s="8" t="s">
        <v>81</v>
      </c>
      <c r="D88" s="8" t="s">
        <v>23</v>
      </c>
      <c r="E88" s="34">
        <f t="shared" si="1"/>
        <v>1700</v>
      </c>
      <c r="F88" s="28">
        <v>0</v>
      </c>
      <c r="G88" s="28">
        <v>1700</v>
      </c>
      <c r="H88" s="28">
        <v>0</v>
      </c>
      <c r="I88" s="28">
        <v>0</v>
      </c>
    </row>
    <row r="89" spans="1:12" ht="59.25" customHeight="1" x14ac:dyDescent="0.25">
      <c r="A89" s="102"/>
      <c r="B89" s="102"/>
      <c r="C89" s="8" t="s">
        <v>72</v>
      </c>
      <c r="D89" s="8" t="s">
        <v>23</v>
      </c>
      <c r="E89" s="34">
        <f t="shared" si="1"/>
        <v>50</v>
      </c>
      <c r="F89" s="28">
        <v>50</v>
      </c>
      <c r="G89" s="28">
        <v>0</v>
      </c>
      <c r="H89" s="28">
        <v>0</v>
      </c>
      <c r="I89" s="28">
        <v>0</v>
      </c>
    </row>
    <row r="90" spans="1:12" ht="31.5" customHeight="1" x14ac:dyDescent="0.25">
      <c r="A90" s="74"/>
      <c r="B90" s="74"/>
      <c r="C90" s="8" t="s">
        <v>73</v>
      </c>
      <c r="D90" s="8" t="s">
        <v>23</v>
      </c>
      <c r="E90" s="33">
        <f t="shared" si="1"/>
        <v>41947.91</v>
      </c>
      <c r="F90" s="28">
        <f>9884.4+1392.6+823.516-823.516-89.1+395.8-179.9+457.4-83</f>
        <v>11778.199999999999</v>
      </c>
      <c r="G90" s="108">
        <f>10632.3-231.39</f>
        <v>10400.91</v>
      </c>
      <c r="H90" s="28">
        <v>9884.4</v>
      </c>
      <c r="I90" s="28">
        <v>9884.4</v>
      </c>
      <c r="K90">
        <v>-231.39</v>
      </c>
      <c r="L90" t="s">
        <v>83</v>
      </c>
    </row>
    <row r="91" spans="1:12" x14ac:dyDescent="0.25">
      <c r="A91" s="1"/>
      <c r="B91" s="1"/>
      <c r="C91" s="1"/>
      <c r="D91" s="1"/>
      <c r="E91" s="1"/>
      <c r="F91" s="75"/>
      <c r="G91" s="75"/>
      <c r="H91" s="75"/>
      <c r="I91" s="75"/>
    </row>
    <row r="92" spans="1:12" x14ac:dyDescent="0.25">
      <c r="A92" s="1"/>
      <c r="B92" s="1"/>
      <c r="C92" s="1"/>
      <c r="D92" s="1"/>
      <c r="E92" s="1"/>
      <c r="F92" s="75"/>
      <c r="G92" s="75"/>
      <c r="H92" s="75"/>
      <c r="I92" s="75"/>
    </row>
    <row r="93" spans="1:12" ht="18.75" x14ac:dyDescent="0.3">
      <c r="A93" s="76"/>
      <c r="B93" s="76" t="s">
        <v>74</v>
      </c>
      <c r="C93" s="76"/>
      <c r="D93" s="76"/>
      <c r="E93" s="76"/>
      <c r="F93" s="77" t="s">
        <v>84</v>
      </c>
      <c r="G93" s="77"/>
      <c r="H93" s="77"/>
      <c r="I93" s="77"/>
    </row>
  </sheetData>
  <mergeCells count="46">
    <mergeCell ref="A5:A6"/>
    <mergeCell ref="B5:B6"/>
    <mergeCell ref="C5:C6"/>
    <mergeCell ref="D5:D6"/>
    <mergeCell ref="E5:I5"/>
    <mergeCell ref="F1:I1"/>
    <mergeCell ref="F2:I2"/>
    <mergeCell ref="A3:I3"/>
    <mergeCell ref="A4:C4"/>
    <mergeCell ref="D4:I4"/>
    <mergeCell ref="A8:A11"/>
    <mergeCell ref="B8:B11"/>
    <mergeCell ref="C8:C11"/>
    <mergeCell ref="A13:A16"/>
    <mergeCell ref="B13:B16"/>
    <mergeCell ref="C13:C16"/>
    <mergeCell ref="A19:A22"/>
    <mergeCell ref="B19:B22"/>
    <mergeCell ref="C19:C22"/>
    <mergeCell ref="A23:A25"/>
    <mergeCell ref="B23:B25"/>
    <mergeCell ref="C23:C25"/>
    <mergeCell ref="A33:A35"/>
    <mergeCell ref="B33:B35"/>
    <mergeCell ref="C33:C35"/>
    <mergeCell ref="A36:A38"/>
    <mergeCell ref="B36:B38"/>
    <mergeCell ref="C36:C38"/>
    <mergeCell ref="A42:A44"/>
    <mergeCell ref="B42:B45"/>
    <mergeCell ref="C42:C45"/>
    <mergeCell ref="A60:A62"/>
    <mergeCell ref="B60:B62"/>
    <mergeCell ref="C60:C62"/>
    <mergeCell ref="A64:A67"/>
    <mergeCell ref="B64:B67"/>
    <mergeCell ref="C64:C67"/>
    <mergeCell ref="A68:A70"/>
    <mergeCell ref="B68:B70"/>
    <mergeCell ref="C68:C70"/>
    <mergeCell ref="A77:A79"/>
    <mergeCell ref="B77:B79"/>
    <mergeCell ref="C77:C79"/>
    <mergeCell ref="A82:A83"/>
    <mergeCell ref="B82:B83"/>
    <mergeCell ref="C82:C83"/>
  </mergeCells>
  <pageMargins left="0.43307086614173229" right="0.31496062992125984" top="0.35433070866141736" bottom="0.39370078740157483" header="0.15748031496062992" footer="0.15748031496062992"/>
  <pageSetup paperSize="9" scale="68" orientation="landscape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DeYbyBls828IkzI8c3p6kC734hgFxQTJVs0Hm6plyA4=</DigestValue>
    </Reference>
    <Reference URI="#idOfficeObject" Type="http://www.w3.org/2000/09/xmldsig#Object">
      <DigestMethod Algorithm="urn:ietf:params:xml:ns:cpxmlsec:algorithms:gostr3411"/>
      <DigestValue>G6EB5Fu6EyCbIjm8O9aJ+bDFq2IpILdLb0MS4YHRmVw=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NCcg+bTNuBrGX/O4u56x+iDwkwtRoIWdpX0STWPHBX0=</DigestValue>
    </Reference>
  </SignedInfo>
  <SignatureValue>1aWKRGg/l54aSVNpebcg6BkL0GDD1933T+XmYNd5ZjaY5pckEUKOSMSJp5nkYPgE
v9dIWCIroADDaum3EYjvZA==</SignatureValue>
  <KeyInfo>
    <X509Data>
      <X509Certificate>MIIL8zCCC6KgAwIBAgIKHo99DQACAC2k6DAIBgYqhQMCAgMwggFjMRgwFgYFKoUD
ZAESDTEwMjc2MDA3ODc5OTQxGjAYBggqhQMDgQMBARIMMDA3NjA1MDE2MDMwMTQw
MgYDVQQJDCvQnNC+0YHQutC+0LLRgdC60LjQuSDQv9GA0L7RgdC/0LXQutGCINC0
LjEyMSMwIQYJKoZIhvcNAQkBFhRyb290QG5hbG9nLnRlbnNvci5ydTELMAkGA1UE
BhMCUlUxMTAvBgNVBAgMKDc2INCv0YDQvtGB0LvQsNCy0YHQutCw0Y8g0L7QsdC7
0LDRgdGC0YwxGzAZBgNVBAcMEtCv0YDQvtGB0LvQsNCy0LvRjDEtMCsGA1UECgwk
0J7QntCeINCa0L7QvNC/0LDQvdC40Y8g0KLQtdC90LfQvtGAMTAwLgYDVQQLDCfQ
o9C00L7RgdGC0L7QstC10YDRj9GO0YnQuNC5INGG0LXQvdGC0YAxEjAQBgNVBAMT
CVRFTlNPUkNBMzAeFw0xNTEyMjUwODUzMDBaFw0xNjEyMjUwOTAzMDBaMIICWzEL
MAkGA1UEBhMCUlUxPjA8BgkqhkiG9w0BCQIML0lOTj01ODM2MDEwMzYwL0tQUD01
ODM2MDEwMDEvT0dSTj0xMDI1ODAxMzU4OTQ1MRowGAYIKoUDA4EDAQESDDAwNTgz
NjAxMDM2MDE7MDkGA1UECgwy0JDQlNCc0JjQndCY0KHQotCg0JDQptCY0K8g0JPQ
ntCg0J7QlNCQINCf0JXQndCX0KsxOzA5BgNVBAMMMtCQ0JTQnNCY0J3QmNCh0KLQ
oNCQ0KbQmNCvINCT0J7QoNCe0JTQkCDQn9CV0J3Ql9CrMSowKAYDVQQqDCHQktC4
0LrRgtC+0YAg0J3QuNC60L7Qu9Cw0LXQstC40YcxGTAXBgNVBAQMENCa0YPQstCw
0LnRhtC10LIxGDAWBgUqhQNkARINMTAyNTgwMTM1ODk0NTEvMC0GA1UECQwm0L/Q
uy7QnNCw0YDRiNCw0LvQsCDQltGD0LrQvtCy0LAsINC0LjQxLzAtBgNVBAgMJjU4
INCf0LXQvdC30LXQvdGB0LrQsNGPINC+0LHQu9Cw0YHRgtGMMRYwFAYFKoUDZAMS
CzAwMzYxNjU3NTE5MR8wHQYDVQQLDBbQoNGD0LrQvtCy0L7QtNGB0YLQstC+MUYw
RAYDVQQMDD3Qk9Cb0JDQktCQINCQ0JTQnNCY0J3QmNCh0KLQoNCQ0KbQmNCYINCT
0J7QoNCe0JTQkCDQn9CV0J3Ql9CrMRMwEQYDVQQHDArQn9C10L3Qt9CwMR0wGwYJ
KoZIhvcNAQkBFg5nb3JhZG1Ac3VyYS5ydTBjMBwGBiqFAwICEzASBgcqhQMCAiQA
BgcqhQMCAh4BA0MABEAjxdWX6eNiJD6D1Zp4V2AcA/qPG+MptM0YTZhuJz1JjkfW
u2DYPuIR64Piq6yoS/fy1AqoMElD+mug+2W9YrW2o4IHODCCBzQwDgYDVR0PAQH/
BAQDAgTwMIGzBgNVHSUEgaswgagGCCsGAQUFBwMEBggrBgEFBQcDAgYIKoUDBwIV
AQIGByqFAwUDMAEGByqFAwUDKAEGCCqFAwUBGAITBgYqhQMDXQ8GBiqFAwNZGAYJ
KoUDAz8BAQIEBggqhQMDOgIBBgYIKoUDAzoCAQIGCCqFAwMpAQMEBggqhQMCQAEB
AQYHKoUDAgIiBgYHKoUDAgIiGgYHKoUDAgIiGQYGKoUDAhcDBgYqhQNkAgEwHQYD
VR0gBBYwFDAIBgYqhQNkcQIwCAYGKoUDZHEBMBkGCSqGSIb3DQEJDwQMMAowCAYG
KoUDAgIVMB0GA1UdDgQWBBSa2GxwkfXWt2cxP0gEtUs/gl4JkDCCAaQGA1UdIwSC
AZswggGXgBROYbZ60fwBLeU6JFO5bOrNcJpymqGCAWukggFnMIIBYzEYMBYGBSqF
A2QBEg0xMDI3NjAwNzg3OTk0MRowGAYIKoUDA4EDAQESDDAwNzYwNTAxNjAzMDE0
MDIGA1UECQwr0JzQvtGB0LrQvtCy0YHQutC40Lkg0L/RgNC+0YHQv9C10LrRgiDQ
tC4xMjEjMCEGCSqGSIb3DQEJARYUcm9vdEBuYWxvZy50ZW5zb3IucnUxCzAJBgNV
BAYTAlJVMTEwLwYDVQQIDCg3NiDQr9GA0L7RgdC70LDQstGB0LrQsNGPINC+0LHQ
u9Cw0YHRgtGMMRswGQYDVQQHDBLQr9GA0L7RgdC70LDQstC70YwxLTArBgNVBAoM
JNCe0J7QniDQmtC+0LzQv9Cw0L3QuNGPINCi0LXQvdC30L7RgDEwMC4GA1UECwwn
0KPQtNC+0YHRgtC+0LLQtdGA0Y/RjtGJ0LjQuSDRhtC10L3RgtGAMRIwEAYDVQQD
EwlURU5TT1JDQTOCEA9hMvcAb7aiTbYIMuxzbG8wggEpBgNVHR8EggEgMIIBHDA5
oDegNYYzaHR0cDovL3RheDQudGVuc29yLnJ1L2NlcnRlbnJvbGwvdGVuc29yY2Ez
LTIwMTUuY3JsMCygKqAohiZodHRwOi8vdGVuc29yLnJ1L2NhL3RlbnNvcmNhMy0y
MDE1LmNybDA5oDegNYYzaHR0cDovL2NybC50ZW5zb3IucnUvdGF4NC9jYS9jcmwv
dGVuc29yY2EzLTIwMTUuY3JsMDqgOKA2hjRodHRwOi8vY3JsMi50ZW5zb3IucnUv
dGF4NC9jYS9jcmwvdGVuc29yY2EzLTIwMTUuY3JsMDqgOKA2hjRodHRwOi8vY3Js
My50ZW5zb3IucnUvdGF4NC9jYS9jcmwvdGVuc29yY2EzLTIwMTUuY3JsMIIBoAYI
KwYBBQUHAQEEggGSMIIBjjAvBggrBgEFBQcwAYYjaHR0cDovL3RheDQudGVuc29y
LnJ1L29jc3Avb2NzcC5zcmYwLQYIKwYBBQUHMAKGIWh0dHA6Ly90YXg0LnRlbnNv
ci5ydS90c3AvdHNwLnNyZjA/BggrBgEFBQcwAoYzaHR0cDovL3RheDQudGVuc29y
LnJ1L2NlcnRlbnJvbGwvdGVuc29yY2EzLTIwMTUuY3J0MDIGCCsGAQUFBzAChiZo
dHRwOi8vdGVuc29yLnJ1L2NhL3RlbnNvcmNhMy0yMDE1LmNydDA7BggrBgEFBQcw
AoYvaHR0cDovL2NybC50ZW5zb3IucnUvdGF4NC9jYS90ZW5zb3JjYTMtMjAxNS5j
cnQwPAYIKwYBBQUHMAKGMGh0dHA6Ly9jcmwyLnRlbnNvci5ydS90YXg0L2NhL3Rl
bnNvcmNhMy0yMDE1LmNydDA8BggrBgEFBQcwAoYwaHR0cDovL2NybDMudGVuc29y
LnJ1L3RheDQvY2EvdGVuc29yY2EzLTIwMTUuY3J0MCsGA1UdEAQkMCKADzIwMTUx
MjI1MDg1MzAwWoEPMjAxNjEyMjUwODUzMDBaMDYGBSqFA2RvBC0MKyLQmtGA0LjQ
v9GC0L7Qn9GA0L4gQ1NQIiAo0LLQtdGA0YHQuNGPIDMuNikwggEzBgUqhQNkcASC
ASgwggEkDCsi0JrRgNC40L/RgtC+0J/RgNC+IENTUCIgKNCy0LXRgNGB0LjRjyAz
LjYpDFMi0KPQtNC+0YHRgtC+0LLQtdGA0Y/RjtGJ0LjQuSDRhtC10L3RgtGAICLQ
mtGA0LjQv9GC0L7Qn9GA0L4g0KPQpiIg0LLQtdGA0YHQuNC4IDEuNQxP0KHQtdGA
0YLQuNGE0LjQutCw0YIg0YHQvtC+0YLQstC10YLRgdGC0LLQuNGPIOKEliDQodCk
LzEyNC0yNzM4INC+0YIgMDEuMDcuMjAxNQxP0KHQtdGA0YLQuNGE0LjQutCw0YIg
0YHQvtC+0YLQstC10YLRgdGC0LLQuNGPIOKEliDQodCkLzEyOC0yMzUyINC+0YIg
MTUuMDQuMjAxNDAIBgYqhQMCAgMDQQAXhO14oWj2pG1QM7dx1Iacw8ENiv+eDsDj
wCvRgJ+PieHPyOJq4Rn2H9oPX7YTSavM2MM2DMB+jzy8BkXkOIBp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BlvAUc9SWMVLrK2fw3l1whLsVDY=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sg19EsSnygVRMjrQ7Q2aoCSAKmA=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sg19EsSnygVRMjrQ7Q2aoCSAKmA=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sg19EsSnygVRMjrQ7Q2aoCSAKmA=</DigestValue>
      </Reference>
      <Reference URI="/xl/sharedStrings.xml?ContentType=application/vnd.openxmlformats-officedocument.spreadsheetml.sharedStrings+xml">
        <DigestMethod Algorithm="http://www.w3.org/2000/09/xmldsig#sha1"/>
        <DigestValue>ajxEWoF/j7/TSL+LJDlMl6AfE/U=</DigestValue>
      </Reference>
      <Reference URI="/xl/styles.xml?ContentType=application/vnd.openxmlformats-officedocument.spreadsheetml.styles+xml">
        <DigestMethod Algorithm="http://www.w3.org/2000/09/xmldsig#sha1"/>
        <DigestValue>Bu5xpybbX/28c1MIElcxmYo3/do=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R4tdo7KvY+jv99BEhfg6BtvAzpg=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MH6VcDOhsEdXmM8Oo9puibVstDA=</DigestValue>
      </Reference>
      <Reference URI="/xl/worksheets/sheet2.xml?ContentType=application/vnd.openxmlformats-officedocument.spreadsheetml.worksheet+xml">
        <DigestMethod Algorithm="http://www.w3.org/2000/09/xmldsig#sha1"/>
        <DigestValue>Zap96APjaRrEafYSIsWqMXux8sY=</DigestValue>
      </Reference>
      <Reference URI="/xl/worksheets/sheet3.xml?ContentType=application/vnd.openxmlformats-officedocument.spreadsheetml.worksheet+xml">
        <DigestMethod Algorithm="http://www.w3.org/2000/09/xmldsig#sha1"/>
        <DigestValue>SIW/u+JkaYPhSM3+LFot2jNcXmA=</DigestValue>
      </Reference>
    </Manifest>
    <SignatureProperties>
      <SignatureProperty Id="idSignatureTime" Target="#idPackageSignature">
        <mdssi:SignatureTime>
          <mdssi:Format>YYYY-MM-DDThh:mm:ssTZD</mdssi:Format>
          <mdssi:Value>2016-03-28T09:24:44Z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6.0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2016-03-28T09:24:44Z</xd:SigningTime>
          <xd:SigningCertificate>
            <xd:Cert>
              <xd:CertDigest>
                <DigestMethod Algorithm="http://www.w3.org/2000/09/xmldsig#sha1"/>
                <DigestValue>q3YZEBXRG/TkWtcSzvYjcxA+qM4=</DigestValue>
              </xd:CertDigest>
              <xd:IssuerSerial>
                <X509IssuerName>CN=TENSORCA3, OU=Удостоверяющий центр, O=ООО Компания Тензор, L=Ярославль, S=76 Ярославская область, C=RU, E=root@nalog.tensor.ru, STREET=Московский проспект д.12, OID.1.2.643.3.131.1.1=007605016030, OID.1.2.643.100.1=1027600787994</X509IssuerName>
                <X509SerialNumber>144317889747067853448424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приведение в соответсвие с бюдж</vt:lpstr>
      <vt:lpstr>на февр.Думу со шк. и д.с</vt:lpstr>
      <vt:lpstr>на мартовскую ДУМУ</vt:lpstr>
      <vt:lpstr>'на мартовскую ДУМУ'!Заголовки_для_печати</vt:lpstr>
      <vt:lpstr>'на февр.Думу со шк. и д.с'!Заголовки_для_печати</vt:lpstr>
      <vt:lpstr>'на мартовскую ДУМУ'!Область_печати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2016-03-28T09:24:44Z</dcterms:modified>
</cp:coreProperties>
</file>