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0995" tabRatio="476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'Лист1'!$A$1:$J$112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6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7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<sst xmlns="http://schemas.openxmlformats.org/spreadsheetml/2006/main" count="163" uniqueCount="78">
  <si>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</si>
  <si>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</si>
  <si>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</si>
  <si>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</si>
  <si>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</si>
  <si>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</si>
  <si>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</si>
  <si>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</si>
  <si>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</si>
  <si>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</si>
  <si>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</si>
  <si>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</si>
  <si>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</si>
  <si>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</si>
  <si>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</si>
  <si>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</si>
  <si>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</si>
  <si>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</si>
  <si>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</si>
  <si>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</si>
  <si>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"Развитие образования в городе Пензе на 2015 - 2020 годы"</t>
  </si>
  <si>
    <t>за счет всех источников финансирования</t>
  </si>
  <si>
    <t>реализации муниципальной программы города Пензы "Развитие образования в городе Пензе на 2015-2020 годы"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</si>
  <si>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</si>
  <si>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</si>
  <si>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</si>
  <si>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</si>
  <si>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</si>
  <si>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</si>
  <si>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</si>
  <si>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</si>
  <si>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</si>
  <si>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</si>
  <si>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</si>
  <si>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</si>
  <si>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</si>
  <si>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</si>
  <si>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</si>
  <si>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</si>
  <si>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</si>
  <si>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</si>
  <si>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</si>
  <si>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</si>
  <si>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</si>
  <si>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</si>
  <si>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</si>
  <si>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</si>
  <si>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</si>
  <si>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</si>
  <si>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</si>
  <si>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</si>
  <si>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</si>
  <si>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</si>
  <si>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</si>
  <si>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</si>
  <si>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</si>
  <si>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</si>
  <si>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</si>
  <si>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</si>
  <si>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</si>
  <si>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</si>
  <si>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</si>
  <si>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</si>
  <si>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</si>
  <si>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Первый заместитель главы  администрации города Пензы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</si>
  <si>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</si>
  <si>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</si>
  <si>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</si>
  <si>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</si>
  <si>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</si>
  <si>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С.В.Волков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</si>
  <si>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</si>
  <si>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</si>
  <si>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</si>
  <si>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</si>
  <si>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Приложение № 1</t>
  </si>
  <si>
    <t>Мероприятие 1.22. Организация питания дошкольников</t>
  </si>
  <si>
    <t xml:space="preserve">                        от  26.01.2018  № 134/13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</si>
</sst>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  <numFmt numFmtId="179" formatCode="#,##0.00000"/>
    <numFmt numFmtId="180" formatCode="#,##0.0000"/>
    <numFmt numFmtId="181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76" fontId="47" fillId="0" borderId="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/>
    </xf>
    <xf numFmtId="176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176" fontId="3" fillId="0" borderId="0" xfId="0" applyNumberFormat="1" applyFont="1" applyFill="1" applyBorder="1" applyAlignment="1">
      <alignment vertical="top"/>
    </xf>
    <xf numFmtId="0" fontId="4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9" fontId="2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vertical="top" wrapText="1"/>
    </xf>
    <xf numFmtId="179" fontId="4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SheetLayoutView="100" zoomScalePageLayoutView="0" workbookViewId="0" topLeftCell="A1">
      <pane xSplit="4" ySplit="18" topLeftCell="E118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N15" sqref="N15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8515625" style="4" customWidth="1"/>
    <col min="4" max="4" width="21.28125" style="4" customWidth="1"/>
    <col min="5" max="5" width="11.7109375" style="4" customWidth="1"/>
    <col min="6" max="6" width="13.00390625" style="4" customWidth="1"/>
    <col min="7" max="7" width="14.140625" style="3" customWidth="1"/>
    <col min="8" max="8" width="12.140625" style="3" customWidth="1"/>
    <col min="9" max="9" width="12.00390625" style="3" customWidth="1"/>
    <col min="10" max="10" width="12.28125" style="4" customWidth="1"/>
    <col min="11" max="11" width="16.7109375" style="42" hidden="1" customWidth="1"/>
    <col min="12" max="16384" width="9.140625" style="4" customWidth="1"/>
  </cols>
  <sheetData>
    <row r="1" spans="8:11" s="3" customFormat="1" ht="15">
      <c r="H1" s="61" t="s">
        <v>75</v>
      </c>
      <c r="I1" s="61"/>
      <c r="J1" s="61"/>
      <c r="K1" s="42"/>
    </row>
    <row r="2" spans="7:11" s="3" customFormat="1" ht="15">
      <c r="G2" s="62" t="s">
        <v>49</v>
      </c>
      <c r="H2" s="62"/>
      <c r="I2" s="62"/>
      <c r="J2" s="62"/>
      <c r="K2" s="42"/>
    </row>
    <row r="3" spans="8:11" s="3" customFormat="1" ht="15">
      <c r="H3" s="63" t="s">
        <v>77</v>
      </c>
      <c r="I3" s="63"/>
      <c r="J3" s="63"/>
      <c r="K3" s="42"/>
    </row>
    <row r="4" ht="15.75" customHeight="1"/>
    <row r="5" spans="6:10" ht="15">
      <c r="F5" s="62" t="s">
        <v>15</v>
      </c>
      <c r="G5" s="62"/>
      <c r="H5" s="62"/>
      <c r="I5" s="62"/>
      <c r="J5" s="62"/>
    </row>
    <row r="6" spans="6:10" ht="15">
      <c r="F6" s="62" t="s">
        <v>0</v>
      </c>
      <c r="G6" s="62"/>
      <c r="H6" s="62"/>
      <c r="I6" s="62"/>
      <c r="J6" s="62"/>
    </row>
    <row r="7" spans="6:10" ht="15">
      <c r="F7" s="62" t="s">
        <v>20</v>
      </c>
      <c r="G7" s="62"/>
      <c r="H7" s="62"/>
      <c r="I7" s="62"/>
      <c r="J7" s="62"/>
    </row>
    <row r="8" spans="6:10" ht="15">
      <c r="F8" s="3"/>
      <c r="J8" s="3"/>
    </row>
    <row r="9" spans="3:6" ht="15">
      <c r="C9" s="3"/>
      <c r="D9" s="14" t="s">
        <v>1</v>
      </c>
      <c r="E9" s="3"/>
      <c r="F9" s="3"/>
    </row>
    <row r="10" spans="3:6" ht="15">
      <c r="C10" s="3"/>
      <c r="D10" s="14" t="s">
        <v>22</v>
      </c>
      <c r="E10" s="3"/>
      <c r="F10" s="3"/>
    </row>
    <row r="11" spans="3:6" ht="15">
      <c r="C11" s="3"/>
      <c r="D11" s="14" t="s">
        <v>21</v>
      </c>
      <c r="E11" s="3"/>
      <c r="F11" s="3"/>
    </row>
    <row r="12" ht="15" hidden="1">
      <c r="D12" s="5"/>
    </row>
    <row r="13" ht="15"/>
    <row r="14" spans="1:11" s="3" customFormat="1" ht="15">
      <c r="A14" s="64" t="s">
        <v>23</v>
      </c>
      <c r="B14" s="46" t="s">
        <v>2</v>
      </c>
      <c r="C14" s="64" t="s">
        <v>16</v>
      </c>
      <c r="D14" s="72" t="s">
        <v>25</v>
      </c>
      <c r="E14" s="73"/>
      <c r="F14" s="73"/>
      <c r="G14" s="73"/>
      <c r="H14" s="73"/>
      <c r="I14" s="73"/>
      <c r="J14" s="74"/>
      <c r="K14" s="42"/>
    </row>
    <row r="15" spans="1:11" s="3" customFormat="1" ht="15">
      <c r="A15" s="64"/>
      <c r="B15" s="47"/>
      <c r="C15" s="64"/>
      <c r="D15" s="65" t="s">
        <v>14</v>
      </c>
      <c r="E15" s="66"/>
      <c r="F15" s="66"/>
      <c r="G15" s="66"/>
      <c r="H15" s="66"/>
      <c r="I15" s="66"/>
      <c r="J15" s="67"/>
      <c r="K15" s="42"/>
    </row>
    <row r="16" spans="1:11" s="3" customFormat="1" ht="25.5" customHeight="1">
      <c r="A16" s="64"/>
      <c r="B16" s="47"/>
      <c r="C16" s="64"/>
      <c r="D16" s="15" t="s">
        <v>3</v>
      </c>
      <c r="E16" s="64" t="s">
        <v>4</v>
      </c>
      <c r="F16" s="64"/>
      <c r="G16" s="64"/>
      <c r="H16" s="64"/>
      <c r="I16" s="64"/>
      <c r="J16" s="64"/>
      <c r="K16" s="42"/>
    </row>
    <row r="17" spans="1:11" s="3" customFormat="1" ht="15">
      <c r="A17" s="64"/>
      <c r="B17" s="48"/>
      <c r="C17" s="64"/>
      <c r="D17" s="1"/>
      <c r="E17" s="15" t="s">
        <v>5</v>
      </c>
      <c r="F17" s="15" t="s">
        <v>9</v>
      </c>
      <c r="G17" s="15" t="s">
        <v>10</v>
      </c>
      <c r="H17" s="15" t="s">
        <v>11</v>
      </c>
      <c r="I17" s="15" t="s">
        <v>12</v>
      </c>
      <c r="J17" s="15" t="s">
        <v>13</v>
      </c>
      <c r="K17" s="42"/>
    </row>
    <row r="18" spans="1:11" s="3" customFormat="1" ht="12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42"/>
    </row>
    <row r="19" spans="1:11" ht="15" customHeight="1">
      <c r="A19" s="68"/>
      <c r="B19" s="54" t="s">
        <v>6</v>
      </c>
      <c r="C19" s="54" t="s">
        <v>24</v>
      </c>
      <c r="D19" s="29" t="s">
        <v>31</v>
      </c>
      <c r="E19" s="21">
        <f>E21+E22</f>
        <v>4201319</v>
      </c>
      <c r="F19" s="31">
        <f>F21+F22+F23</f>
        <v>4359158.426999999</v>
      </c>
      <c r="G19" s="39">
        <f>G21+G22+G23</f>
        <v>4607345.01009</v>
      </c>
      <c r="H19" s="18">
        <f>H21+H22+H23</f>
        <v>5192829.999999999</v>
      </c>
      <c r="I19" s="18">
        <f>I21+I22+I23</f>
        <v>5202700</v>
      </c>
      <c r="J19" s="18">
        <f>J21+J22+J23</f>
        <v>5454295.7</v>
      </c>
      <c r="K19" s="43">
        <f>E19+F19+G19+H19+I19+J19</f>
        <v>29017648.137089998</v>
      </c>
    </row>
    <row r="20" spans="1:11" ht="15">
      <c r="A20" s="69"/>
      <c r="B20" s="57"/>
      <c r="C20" s="57"/>
      <c r="D20" s="51" t="s">
        <v>35</v>
      </c>
      <c r="E20" s="52"/>
      <c r="F20" s="52"/>
      <c r="G20" s="52"/>
      <c r="H20" s="52"/>
      <c r="I20" s="52"/>
      <c r="J20" s="53"/>
      <c r="K20" s="43">
        <f aca="true" t="shared" si="0" ref="K20:K89">E20+F20+G20+H20+I20+J20</f>
        <v>0</v>
      </c>
    </row>
    <row r="21" spans="1:11" ht="15" customHeight="1">
      <c r="A21" s="69"/>
      <c r="B21" s="57"/>
      <c r="C21" s="57"/>
      <c r="D21" s="29" t="s">
        <v>7</v>
      </c>
      <c r="E21" s="21">
        <f>E30+E64+E70+E76+E81+E97</f>
        <v>1268780.3</v>
      </c>
      <c r="F21" s="31">
        <f aca="true" t="shared" si="1" ref="F21:J22">F30+F64+F70+F76+F81+F97+F87</f>
        <v>1279712.2270000002</v>
      </c>
      <c r="G21" s="39">
        <f t="shared" si="1"/>
        <v>1396810.2456899998</v>
      </c>
      <c r="H21" s="21">
        <f t="shared" si="1"/>
        <v>1576331.9999999998</v>
      </c>
      <c r="I21" s="18">
        <f t="shared" si="1"/>
        <v>1589425.9000000001</v>
      </c>
      <c r="J21" s="18">
        <f t="shared" si="1"/>
        <v>1706710</v>
      </c>
      <c r="K21" s="43">
        <f t="shared" si="0"/>
        <v>8817770.67269</v>
      </c>
    </row>
    <row r="22" spans="1:11" ht="40.5" customHeight="1">
      <c r="A22" s="69"/>
      <c r="B22" s="57"/>
      <c r="C22" s="57"/>
      <c r="D22" s="29" t="s">
        <v>8</v>
      </c>
      <c r="E22" s="21">
        <f>E31+E65+E71+E77+E82+E98+E88</f>
        <v>2932538.7</v>
      </c>
      <c r="F22" s="18">
        <f t="shared" si="1"/>
        <v>3076042.8999999994</v>
      </c>
      <c r="G22" s="39">
        <f t="shared" si="1"/>
        <v>3210534.7644</v>
      </c>
      <c r="H22" s="21">
        <f>H31+H65+H71+H77+H82+H98+H88</f>
        <v>3616497.9999999995</v>
      </c>
      <c r="I22" s="18">
        <f>I31+I65+I71+I77+I82+I98+I88</f>
        <v>3613274.1</v>
      </c>
      <c r="J22" s="18">
        <f>J31+J65+J71+J77+J82+J98+J88</f>
        <v>3747585.7</v>
      </c>
      <c r="K22" s="43">
        <f t="shared" si="0"/>
        <v>20196474.1644</v>
      </c>
    </row>
    <row r="23" spans="1:11" ht="40.5" customHeight="1">
      <c r="A23" s="70"/>
      <c r="B23" s="55"/>
      <c r="C23" s="55"/>
      <c r="D23" s="29" t="s">
        <v>73</v>
      </c>
      <c r="E23" s="21">
        <f aca="true" t="shared" si="2" ref="E23:J23">E28</f>
        <v>0</v>
      </c>
      <c r="F23" s="21">
        <f t="shared" si="2"/>
        <v>3403.3</v>
      </c>
      <c r="G23" s="21">
        <f t="shared" si="2"/>
        <v>0</v>
      </c>
      <c r="H23" s="21">
        <f t="shared" si="2"/>
        <v>0</v>
      </c>
      <c r="I23" s="21">
        <f t="shared" si="2"/>
        <v>0</v>
      </c>
      <c r="J23" s="21">
        <f t="shared" si="2"/>
        <v>0</v>
      </c>
      <c r="K23" s="43">
        <f t="shared" si="0"/>
        <v>3403.3</v>
      </c>
    </row>
    <row r="24" spans="1:11" ht="15.75" customHeight="1">
      <c r="A24" s="44" t="s">
        <v>18</v>
      </c>
      <c r="B24" s="46" t="s">
        <v>34</v>
      </c>
      <c r="C24" s="54" t="s">
        <v>33</v>
      </c>
      <c r="D24" s="29" t="s">
        <v>32</v>
      </c>
      <c r="E24" s="21">
        <f aca="true" t="shared" si="3" ref="E24:J24">E26+E27+E28</f>
        <v>4159705.2</v>
      </c>
      <c r="F24" s="31">
        <f t="shared" si="3"/>
        <v>4319202.226999999</v>
      </c>
      <c r="G24" s="39">
        <f t="shared" si="3"/>
        <v>4563229.51009</v>
      </c>
      <c r="H24" s="18">
        <f t="shared" si="3"/>
        <v>5149409.399999999</v>
      </c>
      <c r="I24" s="18">
        <f t="shared" si="3"/>
        <v>5158691.6</v>
      </c>
      <c r="J24" s="18">
        <f t="shared" si="3"/>
        <v>5408797.7</v>
      </c>
      <c r="K24" s="43">
        <f t="shared" si="0"/>
        <v>28759035.637089994</v>
      </c>
    </row>
    <row r="25" spans="1:11" ht="15">
      <c r="A25" s="49"/>
      <c r="B25" s="47"/>
      <c r="C25" s="57"/>
      <c r="D25" s="71" t="s">
        <v>35</v>
      </c>
      <c r="E25" s="71"/>
      <c r="F25" s="71"/>
      <c r="G25" s="71"/>
      <c r="H25" s="71"/>
      <c r="I25" s="71"/>
      <c r="J25" s="71"/>
      <c r="K25" s="43">
        <f t="shared" si="0"/>
        <v>0</v>
      </c>
    </row>
    <row r="26" spans="1:11" ht="25.5">
      <c r="A26" s="49"/>
      <c r="B26" s="47"/>
      <c r="C26" s="57"/>
      <c r="D26" s="29" t="s">
        <v>7</v>
      </c>
      <c r="E26" s="22">
        <f>E30+E64+E76+E70+E81</f>
        <v>1232568.2</v>
      </c>
      <c r="F26" s="32">
        <f aca="true" t="shared" si="4" ref="F26:J27">F30+F64+F76+F70+F81+F87</f>
        <v>1244964.127</v>
      </c>
      <c r="G26" s="40">
        <f t="shared" si="4"/>
        <v>1360223.2456899998</v>
      </c>
      <c r="H26" s="22">
        <f t="shared" si="4"/>
        <v>1541074.7999999998</v>
      </c>
      <c r="I26" s="19">
        <f t="shared" si="4"/>
        <v>1553851.6</v>
      </c>
      <c r="J26" s="19">
        <f t="shared" si="4"/>
        <v>1669855.3</v>
      </c>
      <c r="K26" s="43">
        <f t="shared" si="0"/>
        <v>8602537.27269</v>
      </c>
    </row>
    <row r="27" spans="1:11" ht="51">
      <c r="A27" s="49"/>
      <c r="B27" s="47"/>
      <c r="C27" s="57"/>
      <c r="D27" s="29" t="s">
        <v>8</v>
      </c>
      <c r="E27" s="22">
        <f>E31+E65+E77+E71+E82+E88</f>
        <v>2927137</v>
      </c>
      <c r="F27" s="19">
        <f t="shared" si="4"/>
        <v>3070834.7999999993</v>
      </c>
      <c r="G27" s="40">
        <f t="shared" si="4"/>
        <v>3203006.2644</v>
      </c>
      <c r="H27" s="22">
        <f t="shared" si="4"/>
        <v>3608334.5999999996</v>
      </c>
      <c r="I27" s="19">
        <f t="shared" si="4"/>
        <v>3604840</v>
      </c>
      <c r="J27" s="19">
        <f t="shared" si="4"/>
        <v>3738942.4000000004</v>
      </c>
      <c r="K27" s="43">
        <f t="shared" si="0"/>
        <v>20153095.0644</v>
      </c>
    </row>
    <row r="28" spans="1:11" ht="51">
      <c r="A28" s="49"/>
      <c r="B28" s="47"/>
      <c r="C28" s="55"/>
      <c r="D28" s="29" t="s">
        <v>73</v>
      </c>
      <c r="E28" s="22">
        <f aca="true" t="shared" si="5" ref="E28:J28">E32</f>
        <v>0</v>
      </c>
      <c r="F28" s="22">
        <f t="shared" si="5"/>
        <v>3403.3</v>
      </c>
      <c r="G28" s="22">
        <f t="shared" si="5"/>
        <v>0</v>
      </c>
      <c r="H28" s="22">
        <f t="shared" si="5"/>
        <v>0</v>
      </c>
      <c r="I28" s="22">
        <f t="shared" si="5"/>
        <v>0</v>
      </c>
      <c r="J28" s="22">
        <f t="shared" si="5"/>
        <v>0</v>
      </c>
      <c r="K28" s="43">
        <f t="shared" si="0"/>
        <v>3403.3</v>
      </c>
    </row>
    <row r="29" spans="1:11" ht="15">
      <c r="A29" s="49"/>
      <c r="B29" s="47"/>
      <c r="C29" s="56" t="s">
        <v>14</v>
      </c>
      <c r="D29" s="56"/>
      <c r="E29" s="56"/>
      <c r="F29" s="56"/>
      <c r="G29" s="56"/>
      <c r="H29" s="56"/>
      <c r="I29" s="56"/>
      <c r="J29" s="56"/>
      <c r="K29" s="43">
        <f t="shared" si="0"/>
        <v>0</v>
      </c>
    </row>
    <row r="30" spans="1:11" ht="25.5">
      <c r="A30" s="49"/>
      <c r="B30" s="47"/>
      <c r="C30" s="50" t="s">
        <v>19</v>
      </c>
      <c r="D30" s="29" t="s">
        <v>7</v>
      </c>
      <c r="E30" s="21">
        <f aca="true" t="shared" si="6" ref="E30:J30">E34+E36+E39+E40+E42+E43+E44+E45+E47+E48+E50+E51+E56+E57+E58</f>
        <v>1228894.7</v>
      </c>
      <c r="F30" s="31">
        <f t="shared" si="6"/>
        <v>1241102.327</v>
      </c>
      <c r="G30" s="39">
        <f>G34+G36+G39+G40+G42+G43+G44+G45+G47+G48+G50+G51+G56+G57+G58+G62</f>
        <v>1356382.5456899998</v>
      </c>
      <c r="H30" s="21">
        <f t="shared" si="6"/>
        <v>1540964.9999999998</v>
      </c>
      <c r="I30" s="18">
        <f t="shared" si="6"/>
        <v>1553851.6</v>
      </c>
      <c r="J30" s="18">
        <f t="shared" si="6"/>
        <v>1669855.3</v>
      </c>
      <c r="K30" s="43">
        <f t="shared" si="0"/>
        <v>8591051.472690001</v>
      </c>
    </row>
    <row r="31" spans="1:11" ht="42.75" customHeight="1">
      <c r="A31" s="49"/>
      <c r="B31" s="47"/>
      <c r="C31" s="50"/>
      <c r="D31" s="29" t="s">
        <v>8</v>
      </c>
      <c r="E31" s="21">
        <f>E37+E38+E46+E53+E54+E55+E59+E60+E35+E41+E52</f>
        <v>2895912.3</v>
      </c>
      <c r="F31" s="21">
        <f>F37+F38+F46+F53+F54+F55+F59+F60+F35+F41+F52</f>
        <v>3037653.5999999996</v>
      </c>
      <c r="G31" s="39">
        <f>G37+G38+G46+G53+G54+G55+G59+G60+G49+G35+G41+G52</f>
        <v>3164913.1644</v>
      </c>
      <c r="H31" s="21">
        <f>H37+H38+H46+H53+H54+H55+H59+H60+H35+H41+H52</f>
        <v>3553079.5599999996</v>
      </c>
      <c r="I31" s="18">
        <f>I37+I38+I46+I53+I54+I55+I59+I60+I35+I41+I52</f>
        <v>3580177.7</v>
      </c>
      <c r="J31" s="18">
        <f>J37+J38+J46+J53+J54+J55+J59+J60+J35+J41+J52</f>
        <v>3714280.1000000006</v>
      </c>
      <c r="K31" s="43">
        <f t="shared" si="0"/>
        <v>19946016.424399998</v>
      </c>
    </row>
    <row r="32" spans="1:11" ht="42.75" customHeight="1">
      <c r="A32" s="49"/>
      <c r="B32" s="47"/>
      <c r="C32" s="50"/>
      <c r="D32" s="29" t="s">
        <v>73</v>
      </c>
      <c r="E32" s="21">
        <f aca="true" t="shared" si="7" ref="E32:J32">E61</f>
        <v>0</v>
      </c>
      <c r="F32" s="21">
        <f t="shared" si="7"/>
        <v>3403.3</v>
      </c>
      <c r="G32" s="21">
        <f t="shared" si="7"/>
        <v>0</v>
      </c>
      <c r="H32" s="21">
        <f t="shared" si="7"/>
        <v>0</v>
      </c>
      <c r="I32" s="21">
        <f t="shared" si="7"/>
        <v>0</v>
      </c>
      <c r="J32" s="21">
        <f t="shared" si="7"/>
        <v>0</v>
      </c>
      <c r="K32" s="43">
        <f t="shared" si="0"/>
        <v>3403.3</v>
      </c>
    </row>
    <row r="33" spans="1:11" ht="15">
      <c r="A33" s="49"/>
      <c r="B33" s="47"/>
      <c r="C33" s="51" t="s">
        <v>36</v>
      </c>
      <c r="D33" s="52"/>
      <c r="E33" s="52"/>
      <c r="F33" s="52"/>
      <c r="G33" s="52"/>
      <c r="H33" s="52"/>
      <c r="I33" s="52"/>
      <c r="J33" s="53"/>
      <c r="K33" s="43">
        <f t="shared" si="0"/>
        <v>0</v>
      </c>
    </row>
    <row r="34" spans="1:14" ht="42" customHeight="1">
      <c r="A34" s="49"/>
      <c r="B34" s="47"/>
      <c r="C34" s="44" t="s">
        <v>26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38">
        <f>446458.7-24738.3-39667.5-27051.4-12304.9-420.3-46.8+2792.3+85+874-874+1385.8+457.9+8.7+458.5+8+11134.24418+615.98618+29.5421</f>
        <v>359205.47246</v>
      </c>
      <c r="H34" s="2">
        <v>471944.5</v>
      </c>
      <c r="I34" s="2">
        <v>529577.4</v>
      </c>
      <c r="J34" s="2">
        <v>534656.8</v>
      </c>
      <c r="K34" s="43">
        <f t="shared" si="0"/>
        <v>2550866.5724600004</v>
      </c>
      <c r="M34" s="12"/>
      <c r="N34" s="12"/>
    </row>
    <row r="35" spans="1:14" ht="25.5" customHeight="1">
      <c r="A35" s="49"/>
      <c r="B35" s="47"/>
      <c r="C35" s="45"/>
      <c r="D35" s="1" t="s">
        <v>17</v>
      </c>
      <c r="E35" s="2"/>
      <c r="F35" s="2"/>
      <c r="G35" s="38"/>
      <c r="H35" s="2">
        <v>26631.3</v>
      </c>
      <c r="I35" s="2"/>
      <c r="J35" s="2"/>
      <c r="K35" s="43"/>
      <c r="M35" s="12"/>
      <c r="N35" s="12"/>
    </row>
    <row r="36" spans="1:14" ht="39.75" customHeight="1">
      <c r="A36" s="49"/>
      <c r="B36" s="47"/>
      <c r="C36" s="26" t="s">
        <v>27</v>
      </c>
      <c r="D36" s="1" t="s">
        <v>7</v>
      </c>
      <c r="E36" s="2">
        <f>26922.3-2191-12646.7-212.7-187.9-136.9-240.2</f>
        <v>11306.899999999998</v>
      </c>
      <c r="F36" s="2">
        <f>1603.1+7499.7-5915.1-452.4</f>
        <v>2735.299999999999</v>
      </c>
      <c r="G36" s="2">
        <f>12480.8+138-80+1015.1-800</f>
        <v>12753.9</v>
      </c>
      <c r="H36" s="2">
        <v>12618.8</v>
      </c>
      <c r="I36" s="2">
        <v>12618.8</v>
      </c>
      <c r="J36" s="2">
        <v>11545.3</v>
      </c>
      <c r="K36" s="43">
        <f t="shared" si="0"/>
        <v>63579</v>
      </c>
      <c r="M36" s="12"/>
      <c r="N36" s="12"/>
    </row>
    <row r="37" spans="1:14" ht="78" customHeight="1">
      <c r="A37" s="49"/>
      <c r="B37" s="47"/>
      <c r="C37" s="1" t="s">
        <v>46</v>
      </c>
      <c r="D37" s="1" t="s">
        <v>17</v>
      </c>
      <c r="E37" s="2">
        <f>1433304.7+1242544.7-55754.9+24845.8+869+43009.7+919.9-1454.5+7243.2+8300.7+5624.4</f>
        <v>2709452.7</v>
      </c>
      <c r="F37" s="2">
        <f>2728125.3+13864.7+26703.5+12374.3+242.8+7683.6+30207.7+596.4</f>
        <v>2819798.3</v>
      </c>
      <c r="G37" s="2">
        <f>2884053.5+12519.5+7174.4+2885.4+5920.3+7787.7+11148.7+15.7</f>
        <v>2931505.2</v>
      </c>
      <c r="H37" s="2">
        <v>3233985.8</v>
      </c>
      <c r="I37" s="2">
        <v>3330631</v>
      </c>
      <c r="J37" s="2">
        <v>3463715.7</v>
      </c>
      <c r="K37" s="43">
        <f t="shared" si="0"/>
        <v>18489088.7</v>
      </c>
      <c r="M37" s="12"/>
      <c r="N37" s="12"/>
    </row>
    <row r="38" spans="1:14" ht="54.75" customHeight="1">
      <c r="A38" s="49"/>
      <c r="B38" s="47"/>
      <c r="C38" s="1" t="s">
        <v>40</v>
      </c>
      <c r="D38" s="1" t="s">
        <v>17</v>
      </c>
      <c r="E38" s="2">
        <f>7458.6-284.1+187-1091.7-72</f>
        <v>6197.8</v>
      </c>
      <c r="F38" s="2">
        <f>6543.9-197.4-9.2</f>
        <v>6337.3</v>
      </c>
      <c r="G38" s="2">
        <f>6617.8+64.1+28.3-689.1-124.8</f>
        <v>5896.3</v>
      </c>
      <c r="H38" s="2">
        <v>6342</v>
      </c>
      <c r="I38" s="2">
        <v>6343.4</v>
      </c>
      <c r="J38" s="2">
        <v>6597.1</v>
      </c>
      <c r="K38" s="43">
        <f t="shared" si="0"/>
        <v>37713.9</v>
      </c>
      <c r="M38" s="12"/>
      <c r="N38" s="12"/>
    </row>
    <row r="39" spans="1:14" ht="40.5" customHeight="1">
      <c r="A39" s="49"/>
      <c r="B39" s="47"/>
      <c r="C39" s="1" t="s">
        <v>42</v>
      </c>
      <c r="D39" s="1" t="s">
        <v>7</v>
      </c>
      <c r="E39" s="2">
        <f>296614.6-8058.4-184.1-11-12.2-12.2+202.9+570.3+20075.7+48.4-105.5-14112.4-48.4+696.5-97.3+776.5+933.3-240.2-0.3+3000-0.8-42.3+6924.6+2042-32.3-4.9-7.5-97.6-1706.6</f>
        <v>307110.8</v>
      </c>
      <c r="F39" s="2">
        <f>293800.4+86-66.8-1920.7-54.1+86-1458-36-644.5-217+43-1419.2-35.3-23.9+54.1+337.2+12.8-793.8-0.7+33.4-25.3-157.8+197.8+78.8+428.7+20.1+8182.6+397.4+14.1+276.2</f>
        <v>297195.5</v>
      </c>
      <c r="G39" s="38">
        <f>289681.5-91.1-107.4-25.2-4704.5-734.3+1040.3-427.3-640.5-399.8-1413.8+804.1+89.1+1.8+715.4+160+189.5+230.7+13192.42853+726.21652</f>
        <v>298287.14505</v>
      </c>
      <c r="H39" s="2">
        <v>347012.6</v>
      </c>
      <c r="I39" s="2">
        <v>307960.4</v>
      </c>
      <c r="J39" s="2">
        <v>310167.7</v>
      </c>
      <c r="K39" s="43">
        <f t="shared" si="0"/>
        <v>1867734.1450499997</v>
      </c>
      <c r="M39" s="12"/>
      <c r="N39" s="12"/>
    </row>
    <row r="40" spans="1:14" ht="17.25" customHeight="1">
      <c r="A40" s="49"/>
      <c r="B40" s="47"/>
      <c r="C40" s="44" t="s">
        <v>29</v>
      </c>
      <c r="D40" s="1" t="s">
        <v>7</v>
      </c>
      <c r="E40" s="2">
        <f>255875-1278.5-68.6-13718+12.2-629.1+1120.2-1005.2-15.8+240.5+556.3+4.9-40.4-143.1-117.2</f>
        <v>240793.19999999998</v>
      </c>
      <c r="F40" s="2">
        <f>239832.6-156-497.1-18.9-5-272.2-216.6+25.3+355.6+728.4+822.7+2286.1+15983.3</f>
        <v>258868.19999999998</v>
      </c>
      <c r="G40" s="38">
        <f>260416.2+91.1-687.4+5.3+1003.2-267.2+159.5+504+8932.8+681.93318+276.6442</f>
        <v>271116.07738</v>
      </c>
      <c r="H40" s="2">
        <v>261617</v>
      </c>
      <c r="I40" s="2">
        <v>306162.9</v>
      </c>
      <c r="J40" s="2">
        <v>315366.8</v>
      </c>
      <c r="K40" s="43">
        <f t="shared" si="0"/>
        <v>1653924.17738</v>
      </c>
      <c r="M40" s="12"/>
      <c r="N40" s="12"/>
    </row>
    <row r="41" spans="1:14" ht="27.75" customHeight="1">
      <c r="A41" s="49"/>
      <c r="B41" s="47"/>
      <c r="C41" s="45"/>
      <c r="D41" s="1" t="s">
        <v>17</v>
      </c>
      <c r="E41" s="2"/>
      <c r="F41" s="2"/>
      <c r="G41" s="38"/>
      <c r="H41" s="2">
        <v>35797.6</v>
      </c>
      <c r="I41" s="2"/>
      <c r="J41" s="2"/>
      <c r="K41" s="43"/>
      <c r="M41" s="12"/>
      <c r="N41" s="12"/>
    </row>
    <row r="42" spans="1:14" ht="39" customHeight="1">
      <c r="A42" s="49"/>
      <c r="B42" s="47"/>
      <c r="C42" s="27" t="s">
        <v>55</v>
      </c>
      <c r="D42" s="1" t="s">
        <v>7</v>
      </c>
      <c r="E42" s="2">
        <f>7265-250.2</f>
        <v>7014.8</v>
      </c>
      <c r="F42" s="2">
        <f>7014.8-133.8</f>
        <v>6881</v>
      </c>
      <c r="G42" s="38">
        <f>7431.2-1.1+30-30+4.6+18.9+10+30.4558</f>
        <v>7494.055799999999</v>
      </c>
      <c r="H42" s="2">
        <v>7786.5</v>
      </c>
      <c r="I42" s="2">
        <v>8100.5</v>
      </c>
      <c r="J42" s="2">
        <v>8100.5</v>
      </c>
      <c r="K42" s="43">
        <f t="shared" si="0"/>
        <v>45377.3558</v>
      </c>
      <c r="M42" s="12"/>
      <c r="N42" s="12"/>
    </row>
    <row r="43" spans="1:14" ht="30.75" customHeight="1">
      <c r="A43" s="49"/>
      <c r="B43" s="47"/>
      <c r="C43" s="1" t="s">
        <v>48</v>
      </c>
      <c r="D43" s="1" t="s">
        <v>7</v>
      </c>
      <c r="E43" s="2">
        <f>64757.2-5627.3-212.3-615</f>
        <v>58302.59999999999</v>
      </c>
      <c r="F43" s="2">
        <f>82529.4-805.2-2270.3-156.9-341.9-6431-300.4</f>
        <v>72223.70000000001</v>
      </c>
      <c r="G43" s="2">
        <f>80244.1-582.2-6579.7-850.7</f>
        <v>72231.50000000001</v>
      </c>
      <c r="H43" s="2">
        <v>85919.5</v>
      </c>
      <c r="I43" s="2">
        <v>85919.5</v>
      </c>
      <c r="J43" s="2">
        <v>85919.5</v>
      </c>
      <c r="K43" s="43">
        <f t="shared" si="0"/>
        <v>460516.30000000005</v>
      </c>
      <c r="M43" s="12"/>
      <c r="N43" s="12"/>
    </row>
    <row r="44" spans="1:14" ht="32.25" customHeight="1">
      <c r="A44" s="49"/>
      <c r="B44" s="47"/>
      <c r="C44" s="1" t="s">
        <v>30</v>
      </c>
      <c r="D44" s="1" t="s">
        <v>7</v>
      </c>
      <c r="E44" s="2">
        <f>57486.6-107.4-116.4-3894.9-5658.6-6124.9+171.4-933.3-1430.8</f>
        <v>39391.69999999999</v>
      </c>
      <c r="F44" s="2">
        <f>54815.6-1687.1-36.1-834.6-1193.6+25.9-276.2-791.6</f>
        <v>50022.30000000001</v>
      </c>
      <c r="G44" s="2">
        <f>53685.5+850.7</f>
        <v>54536.2</v>
      </c>
      <c r="H44" s="2">
        <v>60618.7</v>
      </c>
      <c r="I44" s="2">
        <v>60618.7</v>
      </c>
      <c r="J44" s="2">
        <v>60618.7</v>
      </c>
      <c r="K44" s="43">
        <f t="shared" si="0"/>
        <v>325806.30000000005</v>
      </c>
      <c r="M44" s="12"/>
      <c r="N44" s="12"/>
    </row>
    <row r="45" spans="1:14" ht="17.25" customHeight="1">
      <c r="A45" s="49"/>
      <c r="B45" s="47"/>
      <c r="C45" s="44" t="s">
        <v>51</v>
      </c>
      <c r="D45" s="1" t="s">
        <v>7</v>
      </c>
      <c r="E45" s="2">
        <f>5766.8+1216.1</f>
        <v>6982.9</v>
      </c>
      <c r="F45" s="2">
        <f>7088.4-14</f>
        <v>7074.4</v>
      </c>
      <c r="G45" s="2">
        <f>6657-183</f>
        <v>6474</v>
      </c>
      <c r="H45" s="2">
        <v>6453.4</v>
      </c>
      <c r="I45" s="2">
        <v>6453.4</v>
      </c>
      <c r="J45" s="2">
        <v>6453.4</v>
      </c>
      <c r="K45" s="43">
        <f t="shared" si="0"/>
        <v>39891.5</v>
      </c>
      <c r="M45" s="12"/>
      <c r="N45" s="12"/>
    </row>
    <row r="46" spans="1:14" ht="28.5" customHeight="1">
      <c r="A46" s="49"/>
      <c r="B46" s="47"/>
      <c r="C46" s="45"/>
      <c r="D46" s="1" t="s">
        <v>17</v>
      </c>
      <c r="E46" s="2">
        <v>10242.2</v>
      </c>
      <c r="F46" s="2">
        <v>10529.3</v>
      </c>
      <c r="G46" s="2">
        <v>9774.8</v>
      </c>
      <c r="H46" s="17">
        <v>24189.26</v>
      </c>
      <c r="I46" s="2">
        <v>24190.2</v>
      </c>
      <c r="J46" s="2">
        <v>24190.2</v>
      </c>
      <c r="K46" s="43">
        <f t="shared" si="0"/>
        <v>103115.95999999999</v>
      </c>
      <c r="M46" s="12"/>
      <c r="N46" s="12"/>
    </row>
    <row r="47" spans="1:14" ht="76.5">
      <c r="A47" s="49"/>
      <c r="B47" s="47"/>
      <c r="C47" s="1" t="s">
        <v>56</v>
      </c>
      <c r="D47" s="1" t="s">
        <v>7</v>
      </c>
      <c r="E47" s="2">
        <f>53754-22715.5+4665.3+200.3-878.9-2684.5</f>
        <v>32340.700000000004</v>
      </c>
      <c r="F47" s="2">
        <f>41133.5-6500-8797.2-7499.7+79.2+1029.5-546.1</f>
        <v>18899.2</v>
      </c>
      <c r="G47" s="38">
        <f>20112.9+8334.4+33-1406.5+64.55614+736-1369.7-1015.1-523.01552-629.2-233.737</f>
        <v>24103.60362</v>
      </c>
      <c r="H47" s="2">
        <v>24592</v>
      </c>
      <c r="I47" s="2">
        <v>23252.9</v>
      </c>
      <c r="J47" s="2">
        <v>50963.4</v>
      </c>
      <c r="K47" s="43">
        <f t="shared" si="0"/>
        <v>174151.80362</v>
      </c>
      <c r="M47" s="12"/>
      <c r="N47" s="12"/>
    </row>
    <row r="48" spans="1:14" ht="27" customHeight="1">
      <c r="A48" s="49"/>
      <c r="B48" s="47"/>
      <c r="C48" s="44" t="s">
        <v>57</v>
      </c>
      <c r="D48" s="1" t="s">
        <v>7</v>
      </c>
      <c r="E48" s="2">
        <f>66975.1-4729-1572.5-1238.5-1651.7+3235.2-3038.9+882.4-3513-2596.7+127.3+918.3+200+1232.7+1103.4+200.4-361.2</f>
        <v>56173.30000000002</v>
      </c>
      <c r="F48" s="17">
        <f>31866.5+1870.68-900+6500-82-564.2+391.7-99.9+1000+5565.1+112.7+452.4-862.9-314.1</f>
        <v>44935.979999999996</v>
      </c>
      <c r="G48" s="38">
        <f>73304.7+13845.4+26.4+1069.5-1497.9-64.55614-415.6+1040.3+30+505.2-731.705-246.96922-0.01526-500-136.1-17.9-43.363-30</f>
        <v>86137.39137999999</v>
      </c>
      <c r="H48" s="2">
        <v>83212.1</v>
      </c>
      <c r="I48" s="2">
        <v>26747.1</v>
      </c>
      <c r="J48" s="2">
        <v>99036.6</v>
      </c>
      <c r="K48" s="43">
        <f t="shared" si="0"/>
        <v>396242.47138</v>
      </c>
      <c r="M48" s="12"/>
      <c r="N48" s="12"/>
    </row>
    <row r="49" spans="1:14" ht="39" customHeight="1">
      <c r="A49" s="49"/>
      <c r="B49" s="47"/>
      <c r="C49" s="45"/>
      <c r="D49" s="1" t="s">
        <v>17</v>
      </c>
      <c r="E49" s="2"/>
      <c r="F49" s="17"/>
      <c r="G49" s="38">
        <f>3831.331+18142.3-150.631-0.0356</f>
        <v>21822.9644</v>
      </c>
      <c r="H49" s="2"/>
      <c r="I49" s="2"/>
      <c r="J49" s="2"/>
      <c r="K49" s="43">
        <f t="shared" si="0"/>
        <v>21822.9644</v>
      </c>
      <c r="M49" s="12"/>
      <c r="N49" s="12"/>
    </row>
    <row r="50" spans="1:14" ht="76.5">
      <c r="A50" s="49"/>
      <c r="B50" s="47"/>
      <c r="C50" s="1" t="s">
        <v>43</v>
      </c>
      <c r="D50" s="1" t="s">
        <v>7</v>
      </c>
      <c r="E50" s="2">
        <f>120758.8-275.1-15+43-208.7-43-11</f>
        <v>120249</v>
      </c>
      <c r="F50" s="2">
        <v>0</v>
      </c>
      <c r="G50" s="2">
        <f>120758.8-120758.8</f>
        <v>0</v>
      </c>
      <c r="H50" s="2">
        <f>120758.8-120758.8</f>
        <v>0</v>
      </c>
      <c r="I50" s="2">
        <f>120758.8-120758.8</f>
        <v>0</v>
      </c>
      <c r="J50" s="2">
        <f>120758.8-120758.8</f>
        <v>0</v>
      </c>
      <c r="K50" s="43">
        <f t="shared" si="0"/>
        <v>120249</v>
      </c>
      <c r="N50" s="12"/>
    </row>
    <row r="51" spans="1:14" ht="47.25" customHeight="1">
      <c r="A51" s="49"/>
      <c r="B51" s="47"/>
      <c r="C51" s="44" t="s">
        <v>68</v>
      </c>
      <c r="D51" s="1" t="s">
        <v>7</v>
      </c>
      <c r="E51" s="2">
        <f>5999.3-14-127.2-37.9</f>
        <v>5820.200000000001</v>
      </c>
      <c r="F51" s="2">
        <f>126612.5-66-20+2238-66-20-485.5-33-10-255.8-77.3-316.2-41.6-12.5-31-9.3-151.9-45.9+60+18.1+1385.2+418.3-280</f>
        <v>128810.1</v>
      </c>
      <c r="G51" s="2">
        <f>135079.5+107.4+647.4+195.5-36.9-0.6+1657+433.794+131.006-110.5-708.2+23+7</f>
        <v>137425.39999999997</v>
      </c>
      <c r="H51" s="2">
        <v>138759.9</v>
      </c>
      <c r="I51" s="2">
        <v>185461.3</v>
      </c>
      <c r="J51" s="2">
        <v>186047.9</v>
      </c>
      <c r="K51" s="43">
        <f t="shared" si="0"/>
        <v>782324.7999999999</v>
      </c>
      <c r="N51" s="12"/>
    </row>
    <row r="52" spans="1:14" ht="30" customHeight="1">
      <c r="A52" s="49"/>
      <c r="B52" s="47"/>
      <c r="C52" s="45"/>
      <c r="D52" s="1" t="s">
        <v>17</v>
      </c>
      <c r="E52" s="2"/>
      <c r="F52" s="2"/>
      <c r="G52" s="2"/>
      <c r="H52" s="2">
        <v>22320.6</v>
      </c>
      <c r="I52" s="2"/>
      <c r="J52" s="2"/>
      <c r="K52" s="43"/>
      <c r="N52" s="12"/>
    </row>
    <row r="53" spans="1:14" ht="90.75" customHeight="1">
      <c r="A53" s="49"/>
      <c r="B53" s="47"/>
      <c r="C53" s="1" t="s">
        <v>58</v>
      </c>
      <c r="D53" s="1" t="s">
        <v>17</v>
      </c>
      <c r="E53" s="2">
        <f>98953.8+3613.9-6916-1081.8</f>
        <v>94569.9</v>
      </c>
      <c r="F53" s="2">
        <f>113018.5-0.6</f>
        <v>113017.9</v>
      </c>
      <c r="G53" s="2">
        <f>121331.9-2379.2-890</f>
        <v>118062.7</v>
      </c>
      <c r="H53" s="2">
        <v>125600.3</v>
      </c>
      <c r="I53" s="2">
        <v>133595.6</v>
      </c>
      <c r="J53" s="2">
        <v>134359.6</v>
      </c>
      <c r="K53" s="43">
        <f t="shared" si="0"/>
        <v>719206</v>
      </c>
      <c r="N53" s="12"/>
    </row>
    <row r="54" spans="1:14" ht="141.75" customHeight="1" hidden="1">
      <c r="A54" s="49"/>
      <c r="B54" s="47"/>
      <c r="C54" s="1" t="s">
        <v>44</v>
      </c>
      <c r="D54" s="1" t="s">
        <v>17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43">
        <f t="shared" si="0"/>
        <v>0</v>
      </c>
      <c r="N54" s="12"/>
    </row>
    <row r="55" spans="1:14" ht="64.5" customHeight="1">
      <c r="A55" s="49"/>
      <c r="B55" s="47"/>
      <c r="C55" s="1" t="s">
        <v>59</v>
      </c>
      <c r="D55" s="1" t="s">
        <v>17</v>
      </c>
      <c r="E55" s="17">
        <v>65357.8</v>
      </c>
      <c r="F55" s="2">
        <f>88310.9-6828-5250.9-2232</f>
        <v>74000</v>
      </c>
      <c r="G55" s="2">
        <f>73356.7-12537.5+5590</f>
        <v>66409.2</v>
      </c>
      <c r="H55" s="2">
        <v>66066</v>
      </c>
      <c r="I55" s="2">
        <v>73270.8</v>
      </c>
      <c r="J55" s="2">
        <v>73270.8</v>
      </c>
      <c r="K55" s="43">
        <f t="shared" si="0"/>
        <v>418374.6</v>
      </c>
      <c r="N55" s="12"/>
    </row>
    <row r="56" spans="1:14" ht="43.5" customHeight="1">
      <c r="A56" s="49"/>
      <c r="B56" s="47"/>
      <c r="C56" s="1" t="s">
        <v>60</v>
      </c>
      <c r="D56" s="1" t="s">
        <v>7</v>
      </c>
      <c r="E56" s="2">
        <f>845.6+250</f>
        <v>1095.6</v>
      </c>
      <c r="F56" s="2">
        <v>803.3</v>
      </c>
      <c r="G56" s="2">
        <f>743.6+196.5+146.4-20</f>
        <v>1066.5</v>
      </c>
      <c r="H56" s="2">
        <v>743.6</v>
      </c>
      <c r="I56" s="2">
        <v>743.6</v>
      </c>
      <c r="J56" s="2">
        <v>743.6</v>
      </c>
      <c r="K56" s="43">
        <f t="shared" si="0"/>
        <v>5196.2</v>
      </c>
      <c r="N56" s="12"/>
    </row>
    <row r="57" spans="1:14" ht="51">
      <c r="A57" s="49"/>
      <c r="B57" s="47"/>
      <c r="C57" s="1" t="s">
        <v>61</v>
      </c>
      <c r="D57" s="1" t="s">
        <v>7</v>
      </c>
      <c r="E57" s="2">
        <v>304.4</v>
      </c>
      <c r="F57" s="2">
        <f>289.2-5</f>
        <v>284.2</v>
      </c>
      <c r="G57" s="2">
        <v>235.1</v>
      </c>
      <c r="H57" s="2">
        <v>386.4</v>
      </c>
      <c r="I57" s="2">
        <v>235.1</v>
      </c>
      <c r="J57" s="2">
        <v>235.1</v>
      </c>
      <c r="K57" s="43">
        <f t="shared" si="0"/>
        <v>1680.2999999999997</v>
      </c>
      <c r="N57" s="12"/>
    </row>
    <row r="58" spans="1:14" ht="54.75" customHeight="1">
      <c r="A58" s="49"/>
      <c r="B58" s="47"/>
      <c r="C58" s="1" t="s">
        <v>62</v>
      </c>
      <c r="D58" s="1" t="s">
        <v>7</v>
      </c>
      <c r="E58" s="2">
        <f>21429.4+61.4</f>
        <v>21490.800000000003</v>
      </c>
      <c r="F58" s="33">
        <f>13509.2+3910-400-480+865.347</f>
        <v>17404.547000000002</v>
      </c>
      <c r="G58" s="2">
        <f>26255.2-1000+61</f>
        <v>25316.2</v>
      </c>
      <c r="H58" s="2">
        <v>39300</v>
      </c>
      <c r="I58" s="2">
        <v>0</v>
      </c>
      <c r="J58" s="2">
        <v>0</v>
      </c>
      <c r="K58" s="43">
        <f t="shared" si="0"/>
        <v>103511.547</v>
      </c>
      <c r="N58" s="12"/>
    </row>
    <row r="59" spans="1:14" ht="106.5" customHeight="1">
      <c r="A59" s="49"/>
      <c r="B59" s="47"/>
      <c r="C59" s="1" t="s">
        <v>65</v>
      </c>
      <c r="D59" s="1" t="s">
        <v>17</v>
      </c>
      <c r="E59" s="2">
        <f>10000.6+91.3</f>
        <v>10091.9</v>
      </c>
      <c r="F59" s="2">
        <f>10000.6+2372.3+62.4+76.9</f>
        <v>12512.2</v>
      </c>
      <c r="G59" s="2">
        <f>15180.1-307.4+625-4163.7+108</f>
        <v>11442</v>
      </c>
      <c r="H59" s="2">
        <v>12146.7</v>
      </c>
      <c r="I59" s="2">
        <v>12146.7</v>
      </c>
      <c r="J59" s="2">
        <v>12146.7</v>
      </c>
      <c r="K59" s="43">
        <f t="shared" si="0"/>
        <v>70486.2</v>
      </c>
      <c r="N59" s="12"/>
    </row>
    <row r="60" spans="1:14" ht="54.75" customHeight="1">
      <c r="A60" s="49"/>
      <c r="B60" s="47"/>
      <c r="C60" s="44" t="s">
        <v>71</v>
      </c>
      <c r="D60" s="1" t="s">
        <v>17</v>
      </c>
      <c r="E60" s="2">
        <v>0</v>
      </c>
      <c r="F60" s="2">
        <v>1458.6</v>
      </c>
      <c r="G60" s="2">
        <v>0</v>
      </c>
      <c r="H60" s="2">
        <v>0</v>
      </c>
      <c r="I60" s="2">
        <v>0</v>
      </c>
      <c r="J60" s="2">
        <v>0</v>
      </c>
      <c r="K60" s="43">
        <f t="shared" si="0"/>
        <v>1458.6</v>
      </c>
      <c r="N60" s="12"/>
    </row>
    <row r="61" spans="1:14" ht="24.75" customHeight="1">
      <c r="A61" s="49"/>
      <c r="B61" s="47"/>
      <c r="C61" s="45"/>
      <c r="D61" s="1" t="s">
        <v>72</v>
      </c>
      <c r="E61" s="2">
        <v>0</v>
      </c>
      <c r="F61" s="2">
        <v>3403.3</v>
      </c>
      <c r="G61" s="2">
        <v>0</v>
      </c>
      <c r="H61" s="2">
        <v>0</v>
      </c>
      <c r="I61" s="2">
        <v>0</v>
      </c>
      <c r="J61" s="2">
        <v>0</v>
      </c>
      <c r="K61" s="43">
        <f t="shared" si="0"/>
        <v>3403.3</v>
      </c>
      <c r="N61" s="12"/>
    </row>
    <row r="62" spans="1:14" ht="25.5" customHeight="1" hidden="1">
      <c r="A62" s="49"/>
      <c r="B62" s="47"/>
      <c r="C62" s="41" t="s">
        <v>76</v>
      </c>
      <c r="D62" s="1" t="s">
        <v>7</v>
      </c>
      <c r="E62" s="2"/>
      <c r="F62" s="2"/>
      <c r="G62" s="2"/>
      <c r="H62" s="2"/>
      <c r="I62" s="2"/>
      <c r="J62" s="2"/>
      <c r="K62" s="43"/>
      <c r="N62" s="12"/>
    </row>
    <row r="63" spans="1:14" ht="15">
      <c r="A63" s="49"/>
      <c r="B63" s="47"/>
      <c r="C63" s="56" t="s">
        <v>50</v>
      </c>
      <c r="D63" s="56"/>
      <c r="E63" s="56"/>
      <c r="F63" s="56"/>
      <c r="G63" s="56"/>
      <c r="H63" s="56"/>
      <c r="I63" s="56"/>
      <c r="J63" s="56"/>
      <c r="K63" s="43">
        <f t="shared" si="0"/>
        <v>0</v>
      </c>
      <c r="N63" s="12"/>
    </row>
    <row r="64" spans="1:14" ht="15">
      <c r="A64" s="49"/>
      <c r="B64" s="47"/>
      <c r="C64" s="54" t="s">
        <v>19</v>
      </c>
      <c r="D64" s="28" t="s">
        <v>7</v>
      </c>
      <c r="E64" s="20">
        <f>E67</f>
        <v>828.06</v>
      </c>
      <c r="F64" s="20">
        <f aca="true" t="shared" si="8" ref="E64:J65">F67</f>
        <v>837.4</v>
      </c>
      <c r="G64" s="20">
        <f t="shared" si="8"/>
        <v>827.4</v>
      </c>
      <c r="H64" s="20">
        <f t="shared" si="8"/>
        <v>0</v>
      </c>
      <c r="I64" s="20">
        <f t="shared" si="8"/>
        <v>0</v>
      </c>
      <c r="J64" s="20">
        <f t="shared" si="8"/>
        <v>0</v>
      </c>
      <c r="K64" s="43">
        <f t="shared" si="0"/>
        <v>2492.86</v>
      </c>
      <c r="N64" s="12"/>
    </row>
    <row r="65" spans="1:14" ht="38.25">
      <c r="A65" s="49"/>
      <c r="B65" s="47"/>
      <c r="C65" s="55"/>
      <c r="D65" s="29" t="s">
        <v>8</v>
      </c>
      <c r="E65" s="21">
        <f t="shared" si="8"/>
        <v>7038.46</v>
      </c>
      <c r="F65" s="21">
        <f t="shared" si="8"/>
        <v>7537.3</v>
      </c>
      <c r="G65" s="21">
        <f t="shared" si="8"/>
        <v>8687.5</v>
      </c>
      <c r="H65" s="21">
        <f t="shared" si="8"/>
        <v>0</v>
      </c>
      <c r="I65" s="21">
        <f t="shared" si="8"/>
        <v>0</v>
      </c>
      <c r="J65" s="21">
        <f t="shared" si="8"/>
        <v>0</v>
      </c>
      <c r="K65" s="43">
        <f t="shared" si="0"/>
        <v>23263.260000000002</v>
      </c>
      <c r="N65" s="12"/>
    </row>
    <row r="66" spans="1:14" ht="15">
      <c r="A66" s="49"/>
      <c r="B66" s="47"/>
      <c r="C66" s="51" t="s">
        <v>36</v>
      </c>
      <c r="D66" s="52"/>
      <c r="E66" s="52"/>
      <c r="F66" s="52"/>
      <c r="G66" s="52"/>
      <c r="H66" s="52"/>
      <c r="I66" s="52"/>
      <c r="J66" s="53"/>
      <c r="K66" s="43">
        <f t="shared" si="0"/>
        <v>0</v>
      </c>
      <c r="N66" s="12"/>
    </row>
    <row r="67" spans="1:14" ht="20.25" customHeight="1">
      <c r="A67" s="49"/>
      <c r="B67" s="47"/>
      <c r="C67" s="44" t="s">
        <v>55</v>
      </c>
      <c r="D67" s="1" t="s">
        <v>7</v>
      </c>
      <c r="E67" s="17">
        <v>828.06</v>
      </c>
      <c r="F67" s="17">
        <f>828.06+9.34</f>
        <v>837.4</v>
      </c>
      <c r="G67" s="2">
        <f>837.4-10</f>
        <v>827.4</v>
      </c>
      <c r="H67" s="2">
        <v>0</v>
      </c>
      <c r="I67" s="2">
        <v>0</v>
      </c>
      <c r="J67" s="2">
        <v>0</v>
      </c>
      <c r="K67" s="43">
        <f t="shared" si="0"/>
        <v>2492.86</v>
      </c>
      <c r="N67" s="12"/>
    </row>
    <row r="68" spans="1:14" ht="25.5">
      <c r="A68" s="49"/>
      <c r="B68" s="47"/>
      <c r="C68" s="45"/>
      <c r="D68" s="1" t="s">
        <v>17</v>
      </c>
      <c r="E68" s="17">
        <v>7038.46</v>
      </c>
      <c r="F68" s="17">
        <v>7537.3</v>
      </c>
      <c r="G68" s="2">
        <v>8687.5</v>
      </c>
      <c r="H68" s="2">
        <v>0</v>
      </c>
      <c r="I68" s="2">
        <v>0</v>
      </c>
      <c r="J68" s="2">
        <v>0</v>
      </c>
      <c r="K68" s="43">
        <f t="shared" si="0"/>
        <v>23263.260000000002</v>
      </c>
      <c r="N68" s="12"/>
    </row>
    <row r="69" spans="1:14" ht="15">
      <c r="A69" s="49"/>
      <c r="B69" s="47"/>
      <c r="C69" s="56" t="s">
        <v>52</v>
      </c>
      <c r="D69" s="56"/>
      <c r="E69" s="56"/>
      <c r="F69" s="56"/>
      <c r="G69" s="56"/>
      <c r="H69" s="56"/>
      <c r="I69" s="56"/>
      <c r="J69" s="56"/>
      <c r="K69" s="43">
        <f t="shared" si="0"/>
        <v>0</v>
      </c>
      <c r="N69" s="12"/>
    </row>
    <row r="70" spans="1:14" ht="15">
      <c r="A70" s="49"/>
      <c r="B70" s="47"/>
      <c r="C70" s="54" t="s">
        <v>19</v>
      </c>
      <c r="D70" s="28" t="s">
        <v>7</v>
      </c>
      <c r="E70" s="20">
        <f aca="true" t="shared" si="9" ref="E70:J71">E73</f>
        <v>616.72</v>
      </c>
      <c r="F70" s="20">
        <f t="shared" si="9"/>
        <v>611.6</v>
      </c>
      <c r="G70" s="20">
        <f>G73</f>
        <v>587.4</v>
      </c>
      <c r="H70" s="20">
        <f t="shared" si="9"/>
        <v>0</v>
      </c>
      <c r="I70" s="20">
        <f t="shared" si="9"/>
        <v>0</v>
      </c>
      <c r="J70" s="20">
        <f t="shared" si="9"/>
        <v>0</v>
      </c>
      <c r="K70" s="43">
        <f t="shared" si="0"/>
        <v>1815.7200000000003</v>
      </c>
      <c r="N70" s="12"/>
    </row>
    <row r="71" spans="1:14" ht="38.25">
      <c r="A71" s="49"/>
      <c r="B71" s="47"/>
      <c r="C71" s="55"/>
      <c r="D71" s="29" t="s">
        <v>8</v>
      </c>
      <c r="E71" s="21">
        <f t="shared" si="9"/>
        <v>5242.12</v>
      </c>
      <c r="F71" s="21">
        <f t="shared" si="9"/>
        <v>5503.9</v>
      </c>
      <c r="G71" s="21">
        <f t="shared" si="9"/>
        <v>6167</v>
      </c>
      <c r="H71" s="21">
        <f t="shared" si="9"/>
        <v>0</v>
      </c>
      <c r="I71" s="21">
        <f t="shared" si="9"/>
        <v>0</v>
      </c>
      <c r="J71" s="21">
        <f t="shared" si="9"/>
        <v>0</v>
      </c>
      <c r="K71" s="43">
        <f t="shared" si="0"/>
        <v>16913.02</v>
      </c>
      <c r="N71" s="12"/>
    </row>
    <row r="72" spans="1:14" ht="15">
      <c r="A72" s="49"/>
      <c r="B72" s="47"/>
      <c r="C72" s="51" t="s">
        <v>36</v>
      </c>
      <c r="D72" s="52"/>
      <c r="E72" s="52"/>
      <c r="F72" s="52"/>
      <c r="G72" s="52"/>
      <c r="H72" s="52"/>
      <c r="I72" s="52"/>
      <c r="J72" s="53"/>
      <c r="K72" s="43">
        <f t="shared" si="0"/>
        <v>0</v>
      </c>
      <c r="N72" s="12"/>
    </row>
    <row r="73" spans="1:14" ht="15">
      <c r="A73" s="49"/>
      <c r="B73" s="47"/>
      <c r="C73" s="44" t="s">
        <v>55</v>
      </c>
      <c r="D73" s="1" t="s">
        <v>7</v>
      </c>
      <c r="E73" s="17">
        <v>616.72</v>
      </c>
      <c r="F73" s="17">
        <f>616.72-5.12</f>
        <v>611.6</v>
      </c>
      <c r="G73" s="2">
        <f>611.6-24.2</f>
        <v>587.4</v>
      </c>
      <c r="H73" s="2">
        <v>0</v>
      </c>
      <c r="I73" s="2">
        <v>0</v>
      </c>
      <c r="J73" s="2">
        <v>0</v>
      </c>
      <c r="K73" s="43">
        <f t="shared" si="0"/>
        <v>1815.7200000000003</v>
      </c>
      <c r="N73" s="12"/>
    </row>
    <row r="74" spans="1:14" ht="25.5">
      <c r="A74" s="49"/>
      <c r="B74" s="47"/>
      <c r="C74" s="45"/>
      <c r="D74" s="1" t="s">
        <v>17</v>
      </c>
      <c r="E74" s="17">
        <v>5242.12</v>
      </c>
      <c r="F74" s="17">
        <v>5503.9</v>
      </c>
      <c r="G74" s="2">
        <v>6167</v>
      </c>
      <c r="H74" s="2">
        <v>0</v>
      </c>
      <c r="I74" s="2">
        <v>0</v>
      </c>
      <c r="J74" s="2">
        <v>0</v>
      </c>
      <c r="K74" s="43">
        <f t="shared" si="0"/>
        <v>16913.02</v>
      </c>
      <c r="N74" s="12"/>
    </row>
    <row r="75" spans="1:14" ht="15">
      <c r="A75" s="49"/>
      <c r="B75" s="47"/>
      <c r="C75" s="56" t="s">
        <v>53</v>
      </c>
      <c r="D75" s="56"/>
      <c r="E75" s="56"/>
      <c r="F75" s="56"/>
      <c r="G75" s="56"/>
      <c r="H75" s="56"/>
      <c r="I75" s="56"/>
      <c r="J75" s="56"/>
      <c r="K75" s="43">
        <f t="shared" si="0"/>
        <v>0</v>
      </c>
      <c r="N75" s="12"/>
    </row>
    <row r="76" spans="1:14" ht="15">
      <c r="A76" s="49"/>
      <c r="B76" s="47"/>
      <c r="C76" s="54" t="s">
        <v>19</v>
      </c>
      <c r="D76" s="28" t="s">
        <v>7</v>
      </c>
      <c r="E76" s="20">
        <f aca="true" t="shared" si="10" ref="E76:J77">E78</f>
        <v>1292.72</v>
      </c>
      <c r="F76" s="20">
        <f t="shared" si="10"/>
        <v>1297.7</v>
      </c>
      <c r="G76" s="20">
        <f t="shared" si="10"/>
        <v>1273.5</v>
      </c>
      <c r="H76" s="20">
        <f t="shared" si="10"/>
        <v>0</v>
      </c>
      <c r="I76" s="20">
        <f t="shared" si="10"/>
        <v>0</v>
      </c>
      <c r="J76" s="20">
        <f t="shared" si="10"/>
        <v>0</v>
      </c>
      <c r="K76" s="43">
        <f t="shared" si="0"/>
        <v>3863.92</v>
      </c>
      <c r="N76" s="12"/>
    </row>
    <row r="77" spans="1:14" ht="38.25">
      <c r="A77" s="49"/>
      <c r="B77" s="47"/>
      <c r="C77" s="55"/>
      <c r="D77" s="29" t="s">
        <v>8</v>
      </c>
      <c r="E77" s="21">
        <f t="shared" si="10"/>
        <v>10988.12</v>
      </c>
      <c r="F77" s="21">
        <f t="shared" si="10"/>
        <v>11679.3</v>
      </c>
      <c r="G77" s="21">
        <f t="shared" si="10"/>
        <v>13371.4</v>
      </c>
      <c r="H77" s="21">
        <f t="shared" si="10"/>
        <v>0</v>
      </c>
      <c r="I77" s="21">
        <f t="shared" si="10"/>
        <v>0</v>
      </c>
      <c r="J77" s="21">
        <f t="shared" si="10"/>
        <v>0</v>
      </c>
      <c r="K77" s="43">
        <f t="shared" si="0"/>
        <v>36038.82</v>
      </c>
      <c r="N77" s="12"/>
    </row>
    <row r="78" spans="1:14" ht="15">
      <c r="A78" s="49"/>
      <c r="B78" s="47"/>
      <c r="C78" s="44" t="s">
        <v>55</v>
      </c>
      <c r="D78" s="1" t="s">
        <v>7</v>
      </c>
      <c r="E78" s="17">
        <v>1292.72</v>
      </c>
      <c r="F78" s="17">
        <f>1292.72+4.98</f>
        <v>1297.7</v>
      </c>
      <c r="G78" s="2">
        <f>1297.7-24.2</f>
        <v>1273.5</v>
      </c>
      <c r="H78" s="2">
        <v>0</v>
      </c>
      <c r="I78" s="2">
        <v>0</v>
      </c>
      <c r="J78" s="2">
        <v>0</v>
      </c>
      <c r="K78" s="43">
        <f t="shared" si="0"/>
        <v>3863.92</v>
      </c>
      <c r="N78" s="12"/>
    </row>
    <row r="79" spans="1:14" ht="25.5">
      <c r="A79" s="49"/>
      <c r="B79" s="47"/>
      <c r="C79" s="45"/>
      <c r="D79" s="1" t="s">
        <v>17</v>
      </c>
      <c r="E79" s="17">
        <v>10988.12</v>
      </c>
      <c r="F79" s="17">
        <v>11679.3</v>
      </c>
      <c r="G79" s="2">
        <v>13371.4</v>
      </c>
      <c r="H79" s="2">
        <v>0</v>
      </c>
      <c r="I79" s="2">
        <v>0</v>
      </c>
      <c r="J79" s="2">
        <v>0</v>
      </c>
      <c r="K79" s="43">
        <f t="shared" si="0"/>
        <v>36038.82</v>
      </c>
      <c r="N79" s="12"/>
    </row>
    <row r="80" spans="1:14" ht="15" customHeight="1">
      <c r="A80" s="49"/>
      <c r="B80" s="47"/>
      <c r="C80" s="58" t="s">
        <v>54</v>
      </c>
      <c r="D80" s="59"/>
      <c r="E80" s="59"/>
      <c r="F80" s="59"/>
      <c r="G80" s="59"/>
      <c r="H80" s="59"/>
      <c r="I80" s="59"/>
      <c r="J80" s="60"/>
      <c r="K80" s="43">
        <f t="shared" si="0"/>
        <v>0</v>
      </c>
      <c r="N80" s="12"/>
    </row>
    <row r="81" spans="1:14" ht="15">
      <c r="A81" s="49"/>
      <c r="B81" s="47"/>
      <c r="C81" s="54" t="s">
        <v>19</v>
      </c>
      <c r="D81" s="28" t="s">
        <v>7</v>
      </c>
      <c r="E81" s="20">
        <f aca="true" t="shared" si="11" ref="E81:J82">E84</f>
        <v>936</v>
      </c>
      <c r="F81" s="20">
        <f t="shared" si="11"/>
        <v>940.1</v>
      </c>
      <c r="G81" s="20">
        <f t="shared" si="11"/>
        <v>939.6</v>
      </c>
      <c r="H81" s="20">
        <f t="shared" si="11"/>
        <v>0</v>
      </c>
      <c r="I81" s="20">
        <f t="shared" si="11"/>
        <v>0</v>
      </c>
      <c r="J81" s="20">
        <f t="shared" si="11"/>
        <v>0</v>
      </c>
      <c r="K81" s="43">
        <f t="shared" si="0"/>
        <v>2815.7</v>
      </c>
      <c r="N81" s="12"/>
    </row>
    <row r="82" spans="1:14" ht="38.25">
      <c r="A82" s="49"/>
      <c r="B82" s="47"/>
      <c r="C82" s="55"/>
      <c r="D82" s="29" t="s">
        <v>8</v>
      </c>
      <c r="E82" s="21">
        <f t="shared" si="11"/>
        <v>7956</v>
      </c>
      <c r="F82" s="21">
        <f t="shared" si="11"/>
        <v>8460.7</v>
      </c>
      <c r="G82" s="21">
        <f t="shared" si="11"/>
        <v>9867.2</v>
      </c>
      <c r="H82" s="21">
        <f t="shared" si="11"/>
        <v>0</v>
      </c>
      <c r="I82" s="21">
        <f t="shared" si="11"/>
        <v>0</v>
      </c>
      <c r="J82" s="21">
        <f t="shared" si="11"/>
        <v>0</v>
      </c>
      <c r="K82" s="43">
        <f t="shared" si="0"/>
        <v>26283.9</v>
      </c>
      <c r="N82" s="12"/>
    </row>
    <row r="83" spans="1:14" ht="15">
      <c r="A83" s="49"/>
      <c r="B83" s="47"/>
      <c r="C83" s="51" t="s">
        <v>36</v>
      </c>
      <c r="D83" s="52"/>
      <c r="E83" s="52"/>
      <c r="F83" s="52"/>
      <c r="G83" s="52"/>
      <c r="H83" s="52"/>
      <c r="I83" s="52"/>
      <c r="J83" s="53"/>
      <c r="K83" s="43">
        <f t="shared" si="0"/>
        <v>0</v>
      </c>
      <c r="N83" s="12"/>
    </row>
    <row r="84" spans="1:14" ht="15">
      <c r="A84" s="49"/>
      <c r="B84" s="47"/>
      <c r="C84" s="44" t="s">
        <v>55</v>
      </c>
      <c r="D84" s="1" t="s">
        <v>7</v>
      </c>
      <c r="E84" s="17">
        <v>936</v>
      </c>
      <c r="F84" s="2">
        <f>936+4.1</f>
        <v>940.1</v>
      </c>
      <c r="G84" s="2">
        <f>940.1-0.5</f>
        <v>939.6</v>
      </c>
      <c r="H84" s="2">
        <v>0</v>
      </c>
      <c r="I84" s="2">
        <v>0</v>
      </c>
      <c r="J84" s="2">
        <v>0</v>
      </c>
      <c r="K84" s="43">
        <f t="shared" si="0"/>
        <v>2815.7</v>
      </c>
      <c r="N84" s="12"/>
    </row>
    <row r="85" spans="1:14" ht="25.5">
      <c r="A85" s="49"/>
      <c r="B85" s="47"/>
      <c r="C85" s="45"/>
      <c r="D85" s="1" t="s">
        <v>17</v>
      </c>
      <c r="E85" s="17">
        <v>7956</v>
      </c>
      <c r="F85" s="2">
        <v>8460.7</v>
      </c>
      <c r="G85" s="2">
        <v>9867.2</v>
      </c>
      <c r="H85" s="2">
        <v>0</v>
      </c>
      <c r="I85" s="2">
        <v>0</v>
      </c>
      <c r="J85" s="2">
        <v>0</v>
      </c>
      <c r="K85" s="43">
        <f t="shared" si="0"/>
        <v>26283.9</v>
      </c>
      <c r="N85" s="12"/>
    </row>
    <row r="86" spans="1:14" ht="15">
      <c r="A86" s="49"/>
      <c r="B86" s="47"/>
      <c r="C86" s="58" t="s">
        <v>74</v>
      </c>
      <c r="D86" s="59"/>
      <c r="E86" s="59"/>
      <c r="F86" s="59"/>
      <c r="G86" s="59"/>
      <c r="H86" s="59"/>
      <c r="I86" s="59"/>
      <c r="J86" s="60"/>
      <c r="K86" s="43">
        <f t="shared" si="0"/>
        <v>0</v>
      </c>
      <c r="N86" s="12"/>
    </row>
    <row r="87" spans="1:14" ht="15">
      <c r="A87" s="49"/>
      <c r="B87" s="47"/>
      <c r="C87" s="50" t="s">
        <v>19</v>
      </c>
      <c r="D87" s="29" t="s">
        <v>7</v>
      </c>
      <c r="E87" s="20">
        <f aca="true" t="shared" si="12" ref="E87:J87">E90</f>
        <v>0</v>
      </c>
      <c r="F87" s="20">
        <f t="shared" si="12"/>
        <v>175</v>
      </c>
      <c r="G87" s="20">
        <f t="shared" si="12"/>
        <v>212.8</v>
      </c>
      <c r="H87" s="20">
        <f t="shared" si="12"/>
        <v>109.8</v>
      </c>
      <c r="I87" s="20">
        <f t="shared" si="12"/>
        <v>0</v>
      </c>
      <c r="J87" s="20">
        <f t="shared" si="12"/>
        <v>0</v>
      </c>
      <c r="K87" s="43">
        <f t="shared" si="0"/>
        <v>497.6</v>
      </c>
      <c r="N87" s="12"/>
    </row>
    <row r="88" spans="1:14" ht="38.25">
      <c r="A88" s="49"/>
      <c r="B88" s="47"/>
      <c r="C88" s="50"/>
      <c r="D88" s="29" t="s">
        <v>8</v>
      </c>
      <c r="E88" s="21">
        <f aca="true" t="shared" si="13" ref="E88:J88">E91</f>
        <v>0</v>
      </c>
      <c r="F88" s="21">
        <f t="shared" si="13"/>
        <v>0</v>
      </c>
      <c r="G88" s="21">
        <f t="shared" si="13"/>
        <v>0</v>
      </c>
      <c r="H88" s="21">
        <f t="shared" si="13"/>
        <v>55255.04</v>
      </c>
      <c r="I88" s="21">
        <f t="shared" si="13"/>
        <v>24662.3</v>
      </c>
      <c r="J88" s="21">
        <f t="shared" si="13"/>
        <v>24662.3</v>
      </c>
      <c r="K88" s="43"/>
      <c r="N88" s="12"/>
    </row>
    <row r="89" spans="1:14" ht="15">
      <c r="A89" s="49"/>
      <c r="B89" s="47"/>
      <c r="C89" s="51" t="s">
        <v>36</v>
      </c>
      <c r="D89" s="52"/>
      <c r="E89" s="52"/>
      <c r="F89" s="52"/>
      <c r="G89" s="52"/>
      <c r="H89" s="52"/>
      <c r="I89" s="52"/>
      <c r="J89" s="53"/>
      <c r="K89" s="43">
        <f t="shared" si="0"/>
        <v>0</v>
      </c>
      <c r="N89" s="12"/>
    </row>
    <row r="90" spans="1:14" ht="18.75" customHeight="1">
      <c r="A90" s="49"/>
      <c r="B90" s="47"/>
      <c r="C90" s="44" t="s">
        <v>55</v>
      </c>
      <c r="D90" s="1" t="s">
        <v>7</v>
      </c>
      <c r="E90" s="17">
        <v>0</v>
      </c>
      <c r="F90" s="2">
        <f>195-20</f>
        <v>175</v>
      </c>
      <c r="G90" s="2">
        <f>44+70+98.8</f>
        <v>212.8</v>
      </c>
      <c r="H90" s="2">
        <v>109.8</v>
      </c>
      <c r="I90" s="2">
        <v>0</v>
      </c>
      <c r="J90" s="2">
        <v>0</v>
      </c>
      <c r="K90" s="43">
        <f aca="true" t="shared" si="14" ref="K90:K107">E90+F90+G90+H90+I90+J90</f>
        <v>497.6</v>
      </c>
      <c r="N90" s="12"/>
    </row>
    <row r="91" spans="1:14" ht="25.5">
      <c r="A91" s="45"/>
      <c r="B91" s="48"/>
      <c r="C91" s="45"/>
      <c r="D91" s="1" t="s">
        <v>17</v>
      </c>
      <c r="E91" s="17"/>
      <c r="F91" s="2"/>
      <c r="G91" s="2"/>
      <c r="H91" s="17">
        <v>55255.04</v>
      </c>
      <c r="I91" s="2">
        <v>24662.3</v>
      </c>
      <c r="J91" s="2">
        <v>24662.3</v>
      </c>
      <c r="K91" s="43"/>
      <c r="N91" s="12"/>
    </row>
    <row r="92" spans="1:14" ht="30" customHeight="1">
      <c r="A92" s="46">
        <v>2</v>
      </c>
      <c r="B92" s="44" t="s">
        <v>37</v>
      </c>
      <c r="C92" s="54" t="s">
        <v>38</v>
      </c>
      <c r="D92" s="29" t="s">
        <v>39</v>
      </c>
      <c r="E92" s="18">
        <f aca="true" t="shared" si="15" ref="E92:J92">E97+E98</f>
        <v>41613.8</v>
      </c>
      <c r="F92" s="18">
        <f>F97+F98</f>
        <v>39956.19999999999</v>
      </c>
      <c r="G92" s="18">
        <f t="shared" si="15"/>
        <v>44115.49999999999</v>
      </c>
      <c r="H92" s="18">
        <f t="shared" si="15"/>
        <v>43420.6</v>
      </c>
      <c r="I92" s="18">
        <f t="shared" si="15"/>
        <v>44008.4</v>
      </c>
      <c r="J92" s="18">
        <f t="shared" si="15"/>
        <v>45498</v>
      </c>
      <c r="K92" s="43">
        <f t="shared" si="14"/>
        <v>258612.5</v>
      </c>
      <c r="N92" s="12"/>
    </row>
    <row r="93" spans="1:14" ht="15">
      <c r="A93" s="47"/>
      <c r="B93" s="49"/>
      <c r="C93" s="57"/>
      <c r="D93" s="51" t="s">
        <v>35</v>
      </c>
      <c r="E93" s="52"/>
      <c r="F93" s="52"/>
      <c r="G93" s="52"/>
      <c r="H93" s="52"/>
      <c r="I93" s="52"/>
      <c r="J93" s="53"/>
      <c r="K93" s="43">
        <f t="shared" si="14"/>
        <v>0</v>
      </c>
      <c r="N93" s="12"/>
    </row>
    <row r="94" spans="1:14" ht="15">
      <c r="A94" s="47"/>
      <c r="B94" s="49"/>
      <c r="C94" s="57"/>
      <c r="D94" s="29" t="s">
        <v>7</v>
      </c>
      <c r="E94" s="19">
        <f aca="true" t="shared" si="16" ref="E94:J95">E97</f>
        <v>36212.100000000006</v>
      </c>
      <c r="F94" s="19">
        <f t="shared" si="16"/>
        <v>34748.09999999999</v>
      </c>
      <c r="G94" s="19">
        <f t="shared" si="16"/>
        <v>36586.99999999999</v>
      </c>
      <c r="H94" s="19">
        <f t="shared" si="16"/>
        <v>35257.2</v>
      </c>
      <c r="I94" s="19">
        <f t="shared" si="16"/>
        <v>35574.3</v>
      </c>
      <c r="J94" s="19">
        <f t="shared" si="16"/>
        <v>36854.7</v>
      </c>
      <c r="K94" s="43">
        <f t="shared" si="14"/>
        <v>215233.39999999997</v>
      </c>
      <c r="N94" s="12"/>
    </row>
    <row r="95" spans="1:14" ht="38.25">
      <c r="A95" s="47"/>
      <c r="B95" s="49"/>
      <c r="C95" s="55"/>
      <c r="D95" s="29" t="s">
        <v>8</v>
      </c>
      <c r="E95" s="19">
        <f>E98</f>
        <v>5401.7</v>
      </c>
      <c r="F95" s="19">
        <f>F98</f>
        <v>5208.099999999999</v>
      </c>
      <c r="G95" s="19">
        <f t="shared" si="16"/>
        <v>7528.5</v>
      </c>
      <c r="H95" s="19">
        <f t="shared" si="16"/>
        <v>8163.4</v>
      </c>
      <c r="I95" s="19">
        <f t="shared" si="16"/>
        <v>8434.1</v>
      </c>
      <c r="J95" s="19">
        <f t="shared" si="16"/>
        <v>8643.3</v>
      </c>
      <c r="K95" s="43">
        <f t="shared" si="14"/>
        <v>43379.09999999999</v>
      </c>
      <c r="N95" s="12"/>
    </row>
    <row r="96" spans="1:14" ht="15">
      <c r="A96" s="47"/>
      <c r="B96" s="49"/>
      <c r="C96" s="56" t="s">
        <v>14</v>
      </c>
      <c r="D96" s="56"/>
      <c r="E96" s="56"/>
      <c r="F96" s="56"/>
      <c r="G96" s="56"/>
      <c r="H96" s="56"/>
      <c r="I96" s="56"/>
      <c r="J96" s="56"/>
      <c r="K96" s="43">
        <f t="shared" si="14"/>
        <v>0</v>
      </c>
      <c r="N96" s="12"/>
    </row>
    <row r="97" spans="1:14" ht="15">
      <c r="A97" s="47"/>
      <c r="B97" s="49"/>
      <c r="C97" s="54" t="s">
        <v>19</v>
      </c>
      <c r="D97" s="29" t="s">
        <v>7</v>
      </c>
      <c r="E97" s="18">
        <f aca="true" t="shared" si="17" ref="E97:J97">E100</f>
        <v>36212.100000000006</v>
      </c>
      <c r="F97" s="18">
        <f>F100</f>
        <v>34748.09999999999</v>
      </c>
      <c r="G97" s="18">
        <f t="shared" si="17"/>
        <v>36586.99999999999</v>
      </c>
      <c r="H97" s="18">
        <f t="shared" si="17"/>
        <v>35257.2</v>
      </c>
      <c r="I97" s="18">
        <f t="shared" si="17"/>
        <v>35574.3</v>
      </c>
      <c r="J97" s="18">
        <f t="shared" si="17"/>
        <v>36854.7</v>
      </c>
      <c r="K97" s="43">
        <f t="shared" si="14"/>
        <v>215233.39999999997</v>
      </c>
      <c r="N97" s="12"/>
    </row>
    <row r="98" spans="1:14" ht="38.25">
      <c r="A98" s="47"/>
      <c r="B98" s="49"/>
      <c r="C98" s="55"/>
      <c r="D98" s="29" t="s">
        <v>8</v>
      </c>
      <c r="E98" s="18">
        <f aca="true" t="shared" si="18" ref="E98:J98">E101+E103+E104+E105+E106+E102+E107</f>
        <v>5401.7</v>
      </c>
      <c r="F98" s="18">
        <f t="shared" si="18"/>
        <v>5208.099999999999</v>
      </c>
      <c r="G98" s="18">
        <f t="shared" si="18"/>
        <v>7528.5</v>
      </c>
      <c r="H98" s="18">
        <f t="shared" si="18"/>
        <v>8163.4</v>
      </c>
      <c r="I98" s="18">
        <f t="shared" si="18"/>
        <v>8434.1</v>
      </c>
      <c r="J98" s="18">
        <f t="shared" si="18"/>
        <v>8643.3</v>
      </c>
      <c r="K98" s="43">
        <f t="shared" si="14"/>
        <v>43379.09999999999</v>
      </c>
      <c r="N98" s="12"/>
    </row>
    <row r="99" spans="1:14" ht="15">
      <c r="A99" s="47"/>
      <c r="B99" s="49"/>
      <c r="C99" s="51" t="s">
        <v>36</v>
      </c>
      <c r="D99" s="52"/>
      <c r="E99" s="52"/>
      <c r="F99" s="52"/>
      <c r="G99" s="52"/>
      <c r="H99" s="52"/>
      <c r="I99" s="52"/>
      <c r="J99" s="53"/>
      <c r="K99" s="43">
        <f t="shared" si="14"/>
        <v>0</v>
      </c>
      <c r="N99" s="12"/>
    </row>
    <row r="100" spans="1:14" ht="29.25" customHeight="1">
      <c r="A100" s="47"/>
      <c r="B100" s="49"/>
      <c r="C100" s="1" t="s">
        <v>45</v>
      </c>
      <c r="D100" s="1" t="s">
        <v>7</v>
      </c>
      <c r="E100" s="2">
        <f>38165.4-137.1-428.7-443.1-529.9-234.5-180</f>
        <v>36212.100000000006</v>
      </c>
      <c r="F100" s="2">
        <f>36609.3-554.8-326.9-727.9-33.4-26.3-18.2-23.9-4.9-5.4-195.4+55.9</f>
        <v>34748.09999999999</v>
      </c>
      <c r="G100" s="2">
        <f>33158.6+3742.7-124.8-185.7-3.8</f>
        <v>36586.99999999999</v>
      </c>
      <c r="H100" s="2">
        <v>35257.2</v>
      </c>
      <c r="I100" s="2">
        <v>35574.3</v>
      </c>
      <c r="J100" s="2">
        <v>36854.7</v>
      </c>
      <c r="K100" s="43">
        <f t="shared" si="14"/>
        <v>215233.39999999997</v>
      </c>
      <c r="N100" s="12"/>
    </row>
    <row r="101" spans="1:14" ht="53.25" customHeight="1">
      <c r="A101" s="47"/>
      <c r="B101" s="49"/>
      <c r="C101" s="1" t="s">
        <v>28</v>
      </c>
      <c r="D101" s="1" t="s">
        <v>17</v>
      </c>
      <c r="E101" s="2">
        <f>2415.6-20</f>
        <v>2395.6</v>
      </c>
      <c r="F101" s="2">
        <f>2415.6-29.3</f>
        <v>2386.2999999999997</v>
      </c>
      <c r="G101" s="2">
        <f>4831.4-86.8</f>
        <v>4744.599999999999</v>
      </c>
      <c r="H101" s="2">
        <v>5010.2</v>
      </c>
      <c r="I101" s="2">
        <v>5056.9</v>
      </c>
      <c r="J101" s="2">
        <v>5244.9</v>
      </c>
      <c r="K101" s="43">
        <f t="shared" si="14"/>
        <v>24838.5</v>
      </c>
      <c r="N101" s="12"/>
    </row>
    <row r="102" spans="1:14" ht="91.5" customHeight="1">
      <c r="A102" s="47"/>
      <c r="B102" s="49"/>
      <c r="C102" s="1" t="s">
        <v>69</v>
      </c>
      <c r="D102" s="1" t="s">
        <v>17</v>
      </c>
      <c r="E102" s="2">
        <v>433.3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43">
        <f t="shared" si="14"/>
        <v>433.3</v>
      </c>
      <c r="N102" s="12"/>
    </row>
    <row r="103" spans="1:14" ht="117" customHeight="1">
      <c r="A103" s="47"/>
      <c r="B103" s="49"/>
      <c r="C103" s="1" t="s">
        <v>66</v>
      </c>
      <c r="D103" s="1" t="s">
        <v>17</v>
      </c>
      <c r="E103" s="2">
        <v>0</v>
      </c>
      <c r="F103" s="2">
        <f>234.8+0.6+1.2</f>
        <v>236.6</v>
      </c>
      <c r="G103" s="2">
        <f>240.4+1.7+0.9+2</f>
        <v>245</v>
      </c>
      <c r="H103" s="2">
        <v>268.4</v>
      </c>
      <c r="I103" s="2">
        <v>284.3</v>
      </c>
      <c r="J103" s="2">
        <v>295.8</v>
      </c>
      <c r="K103" s="43">
        <f t="shared" si="14"/>
        <v>1330.1</v>
      </c>
      <c r="N103" s="12"/>
    </row>
    <row r="104" spans="1:14" ht="69" customHeight="1">
      <c r="A104" s="47"/>
      <c r="B104" s="49"/>
      <c r="C104" s="1" t="s">
        <v>41</v>
      </c>
      <c r="D104" s="1" t="s">
        <v>17</v>
      </c>
      <c r="E104" s="2">
        <f>1.2-0.1+0.1</f>
        <v>1.2</v>
      </c>
      <c r="F104" s="2">
        <v>1.2</v>
      </c>
      <c r="G104" s="2">
        <f>1.1-0.1</f>
        <v>1</v>
      </c>
      <c r="H104" s="2">
        <v>1</v>
      </c>
      <c r="I104" s="2">
        <v>1</v>
      </c>
      <c r="J104" s="2">
        <v>1</v>
      </c>
      <c r="K104" s="43">
        <f t="shared" si="14"/>
        <v>6.4</v>
      </c>
      <c r="N104" s="12"/>
    </row>
    <row r="105" spans="1:14" ht="81" customHeight="1">
      <c r="A105" s="47"/>
      <c r="B105" s="49"/>
      <c r="C105" s="1" t="s">
        <v>47</v>
      </c>
      <c r="D105" s="1" t="s">
        <v>17</v>
      </c>
      <c r="E105" s="2">
        <v>2555</v>
      </c>
      <c r="F105" s="2">
        <f>2177+159.8+14.7</f>
        <v>2351.5</v>
      </c>
      <c r="G105" s="2">
        <v>2294.3</v>
      </c>
      <c r="H105" s="2">
        <v>2616.5</v>
      </c>
      <c r="I105" s="2">
        <v>2822.3</v>
      </c>
      <c r="J105" s="2">
        <v>2822.3</v>
      </c>
      <c r="K105" s="43">
        <f t="shared" si="14"/>
        <v>15461.899999999998</v>
      </c>
      <c r="N105" s="12"/>
    </row>
    <row r="106" spans="1:14" ht="91.5" customHeight="1">
      <c r="A106" s="48"/>
      <c r="B106" s="45"/>
      <c r="C106" s="1" t="s">
        <v>63</v>
      </c>
      <c r="D106" s="1" t="s">
        <v>17</v>
      </c>
      <c r="E106" s="2">
        <v>16.6</v>
      </c>
      <c r="F106" s="2">
        <v>18.1</v>
      </c>
      <c r="G106" s="2">
        <v>19.5</v>
      </c>
      <c r="H106" s="2">
        <v>18.5</v>
      </c>
      <c r="I106" s="2">
        <v>21.4</v>
      </c>
      <c r="J106" s="2">
        <v>21.5</v>
      </c>
      <c r="K106" s="43">
        <f t="shared" si="14"/>
        <v>115.6</v>
      </c>
      <c r="N106" s="12"/>
    </row>
    <row r="107" spans="1:14" ht="114.75">
      <c r="A107" s="6"/>
      <c r="B107" s="25"/>
      <c r="C107" s="1" t="s">
        <v>67</v>
      </c>
      <c r="D107" s="1" t="s">
        <v>17</v>
      </c>
      <c r="E107" s="30">
        <v>0</v>
      </c>
      <c r="F107" s="2">
        <f>201.4+1.5+4.3+2.1+5.1</f>
        <v>214.4</v>
      </c>
      <c r="G107" s="2">
        <f>221.3+1.1+0.7+1</f>
        <v>224.1</v>
      </c>
      <c r="H107" s="2">
        <v>248.8</v>
      </c>
      <c r="I107" s="2">
        <v>248.2</v>
      </c>
      <c r="J107" s="2">
        <v>257.8</v>
      </c>
      <c r="K107" s="43">
        <f t="shared" si="14"/>
        <v>1193.3</v>
      </c>
      <c r="N107" s="12"/>
    </row>
    <row r="108" spans="1:11" ht="15">
      <c r="A108" s="7"/>
      <c r="B108" s="8"/>
      <c r="C108" s="9"/>
      <c r="D108" s="9"/>
      <c r="E108" s="10"/>
      <c r="F108" s="10"/>
      <c r="G108" s="34"/>
      <c r="H108" s="34"/>
      <c r="I108" s="34"/>
      <c r="J108" s="10"/>
      <c r="K108" s="43"/>
    </row>
    <row r="109" spans="1:11" ht="15">
      <c r="A109" s="7"/>
      <c r="B109" s="8"/>
      <c r="C109" s="9"/>
      <c r="D109" s="9"/>
      <c r="E109" s="10"/>
      <c r="F109" s="10"/>
      <c r="G109" s="34"/>
      <c r="H109" s="34"/>
      <c r="I109" s="34"/>
      <c r="J109" s="10"/>
      <c r="K109" s="43"/>
    </row>
    <row r="110" spans="1:11" ht="15">
      <c r="A110" s="7"/>
      <c r="B110" s="8"/>
      <c r="C110" s="9"/>
      <c r="D110" s="9"/>
      <c r="E110" s="10"/>
      <c r="F110" s="10"/>
      <c r="G110" s="34"/>
      <c r="H110" s="34"/>
      <c r="I110" s="34"/>
      <c r="J110" s="10"/>
      <c r="K110" s="43"/>
    </row>
    <row r="111" spans="2:13" ht="15">
      <c r="B111" s="23" t="s">
        <v>64</v>
      </c>
      <c r="C111" s="3"/>
      <c r="D111" s="3"/>
      <c r="E111" s="3"/>
      <c r="F111" s="3"/>
      <c r="H111" s="24" t="s">
        <v>70</v>
      </c>
      <c r="M111" s="11"/>
    </row>
    <row r="112" spans="5:10" ht="15">
      <c r="E112" s="5"/>
      <c r="F112" s="5"/>
      <c r="G112" s="35"/>
      <c r="H112" s="35"/>
      <c r="I112" s="35"/>
      <c r="J112" s="5"/>
    </row>
    <row r="113" spans="5:10" ht="15">
      <c r="E113" s="12"/>
      <c r="F113" s="12"/>
      <c r="G113" s="36"/>
      <c r="H113" s="36"/>
      <c r="I113" s="36"/>
      <c r="J113" s="12"/>
    </row>
    <row r="118" spans="5:10" ht="15">
      <c r="E118" s="12"/>
      <c r="F118" s="12"/>
      <c r="G118" s="36"/>
      <c r="H118" s="36"/>
      <c r="I118" s="36"/>
      <c r="J118" s="12"/>
    </row>
    <row r="120" spans="5:10" ht="15" hidden="1">
      <c r="E120" s="12"/>
      <c r="F120" s="12"/>
      <c r="G120" s="36"/>
      <c r="H120" s="37">
        <f>H31+H95</f>
        <v>3561242.9599999995</v>
      </c>
      <c r="I120" s="37">
        <f>I31+I95</f>
        <v>3588611.8000000003</v>
      </c>
      <c r="J120" s="37">
        <f>J31+J95</f>
        <v>3722923.4000000004</v>
      </c>
    </row>
    <row r="121" spans="6:10" ht="15" hidden="1">
      <c r="F121" s="12"/>
      <c r="G121" s="36"/>
      <c r="H121" s="37">
        <f>H120+H88</f>
        <v>3616497.9999999995</v>
      </c>
      <c r="I121" s="37">
        <f>I120+I88</f>
        <v>3613274.1</v>
      </c>
      <c r="J121" s="37">
        <f>J120+J88</f>
        <v>3747585.7</v>
      </c>
    </row>
    <row r="122" spans="6:10" ht="15" hidden="1">
      <c r="F122" s="12"/>
      <c r="G122" s="36"/>
      <c r="H122" s="37">
        <f>H121-H22</f>
        <v>0</v>
      </c>
      <c r="I122" s="37">
        <f>I121-I22</f>
        <v>0</v>
      </c>
      <c r="J122" s="37">
        <f>J121-J22</f>
        <v>0</v>
      </c>
    </row>
    <row r="123" ht="15" hidden="1"/>
    <row r="124" ht="15" hidden="1"/>
    <row r="125" spans="5:10" ht="15">
      <c r="E125" s="13"/>
      <c r="F125" s="13"/>
      <c r="G125" s="37"/>
      <c r="H125" s="37"/>
      <c r="I125" s="37"/>
      <c r="J125" s="13"/>
    </row>
    <row r="131" ht="15">
      <c r="E131" s="12"/>
    </row>
  </sheetData>
  <sheetProtection/>
  <mergeCells count="55">
    <mergeCell ref="C99:J99"/>
    <mergeCell ref="C33:J33"/>
    <mergeCell ref="C67:C68"/>
    <mergeCell ref="D25:J25"/>
    <mergeCell ref="D14:J14"/>
    <mergeCell ref="C86:J86"/>
    <mergeCell ref="C89:J89"/>
    <mergeCell ref="C30:C32"/>
    <mergeCell ref="C24:C28"/>
    <mergeCell ref="C63:J63"/>
    <mergeCell ref="B14:B17"/>
    <mergeCell ref="C14:C17"/>
    <mergeCell ref="A14:A17"/>
    <mergeCell ref="A92:A106"/>
    <mergeCell ref="B92:B106"/>
    <mergeCell ref="B19:B23"/>
    <mergeCell ref="A19:A23"/>
    <mergeCell ref="C97:C98"/>
    <mergeCell ref="C48:C49"/>
    <mergeCell ref="C84:C85"/>
    <mergeCell ref="F7:J7"/>
    <mergeCell ref="D20:J20"/>
    <mergeCell ref="D15:J15"/>
    <mergeCell ref="C19:C23"/>
    <mergeCell ref="C29:J29"/>
    <mergeCell ref="C45:C46"/>
    <mergeCell ref="C40:C41"/>
    <mergeCell ref="H1:J1"/>
    <mergeCell ref="G2:J2"/>
    <mergeCell ref="H3:J3"/>
    <mergeCell ref="F5:J5"/>
    <mergeCell ref="F6:J6"/>
    <mergeCell ref="C72:J72"/>
    <mergeCell ref="E16:J16"/>
    <mergeCell ref="C64:C65"/>
    <mergeCell ref="C60:C61"/>
    <mergeCell ref="C34:C35"/>
    <mergeCell ref="C96:J96"/>
    <mergeCell ref="D93:J93"/>
    <mergeCell ref="C69:J69"/>
    <mergeCell ref="C70:C71"/>
    <mergeCell ref="C73:C74"/>
    <mergeCell ref="C75:J75"/>
    <mergeCell ref="C78:C79"/>
    <mergeCell ref="C92:C95"/>
    <mergeCell ref="C80:J80"/>
    <mergeCell ref="C81:C82"/>
    <mergeCell ref="C90:C91"/>
    <mergeCell ref="B24:B91"/>
    <mergeCell ref="A24:A91"/>
    <mergeCell ref="C87:C88"/>
    <mergeCell ref="C51:C52"/>
    <mergeCell ref="C66:J66"/>
    <mergeCell ref="C76:C77"/>
    <mergeCell ref="C83:J83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92" r:id="rId3"/>
  <rowBreaks count="4" manualBreakCount="4">
    <brk id="47" max="9" man="1"/>
    <brk id="58" max="9" man="1"/>
    <brk id="77" max="9" man="1"/>
    <brk id="106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Сметанина Н.А.</cp:lastModifiedBy>
  <cp:lastPrinted>2017-07-31T08:04:05Z</cp:lastPrinted>
  <dcterms:created xsi:type="dcterms:W3CDTF">2014-06-08T13:25:44Z</dcterms:created>
  <dcterms:modified xsi:type="dcterms:W3CDTF">2018-02-13T09:54:10Z</dcterms:modified>
  <cp:category/>
  <cp:version/>
  <cp:contentType/>
  <cp:contentStatus/>
</cp:coreProperties>
</file>