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87" firstSheet="1" activeTab="1"/>
  </bookViews>
  <sheets>
    <sheet name="Лист1" sheetId="1" state="hidden" r:id="rId1"/>
    <sheet name="Лист1 (2)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</externalReferences>
  <definedNames>
    <definedName name="_xlnm.Print_Titles" localSheetId="0">'Лист1'!$20:$23</definedName>
    <definedName name="_xlnm.Print_Titles" localSheetId="1">'Лист1 (2)'!$20:$23</definedName>
    <definedName name="_xlnm.Print_Area" localSheetId="0">'Лист1'!$A$1:$P$47</definedName>
    <definedName name="_xlnm.Print_Area" localSheetId="1">'Лист1 (2)'!$A$1:$T$58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K4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</commentList>
</comments>
</file>

<file path=xl/comments2.xml><?xml version="1.0" encoding="utf-8"?>
<comments xmlns="http://schemas.openxmlformats.org/spreadsheetml/2006/main">
  <authors>
    <author>smetanina</author>
    <author>Сметанина Н.А.</author>
  </authors>
  <commentList>
    <comment ref="M5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  <comment ref="O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6 865 - 612 в.р.в первоначальной росписи
+555,9 - приказ ФУ (март) с в.р. 611 на в.р. 612
-46,8 в.р.612 снятие апрельской думой
+85,0 добавили майской думой
+874,0 добавили июньской думой
-874,0 сняли августовской думой
+29,8 добавл. на з/п
+8,0 поправка ноябр.д. (223)
+29,5421 добавл. на 223 декабрьск.дума
-55,81365 приказ Ф.Упр.декабрь 612                              -15,6 приказ Ф.упр. декабрь 622 </t>
        </r>
      </text>
    </comment>
    <comment ref="O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2 236,9 - 612 в.р.в первоначальной росписи
- 25,2 в.р.612 снятие апрельской думой
+640,5 добавили июньской думой
+384,913 перераспределение авг.приказом с 611 на 612 по 2 лицею
-640,5 сняли августовской думой
+118,5 приказ ФУ (сентябрь) с 611 на 612
-315,416 приказ ф.упр. декабрь 612
-46 приказ ф.упр. декабрь 622
</t>
        </r>
      </text>
    </comment>
    <comment ref="O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394,9 - 612 в.р.в первоначальной росписи
-247,59 приказ ф.упр.декабрь 612</t>
        </r>
      </text>
    </comment>
    <comment ref="O6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2 682,2 - 612 в.р.в первоначальной росписи - это осталось на старой целевке
+30 на новую целевку (12107s1140) добавили думой июнь</t>
        </r>
      </text>
    </comment>
    <comment ref="P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4457,5 - 612 по первоначальной росписи
7,043 и 285,475 добавили июньской поправкой
7,982 добавили августовской думой
+19,2 передвижка с 611 на 612 в сентябре
-2,935 сняли думой окт.с 612
-21,26488 сняли думой ноябрь с 612
+112,3715 передвижка с 611 на 612
-45,82 сняли с 612 думой декабрь
+42,415 дают на 612 223 декабр.думой</t>
        </r>
      </text>
    </comment>
    <comment ref="P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в первонач.росписи 612 нет</t>
        </r>
      </text>
    </comment>
    <comment ref="P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397,4 - 612 по первонач.росписи
-4,75764 сняли сентябрьской думой
-9,354 сняли окт.думой
-78,06512 сняли ноябр.думой
-19,75 сняли декабрьской думой</t>
        </r>
      </text>
    </comment>
    <comment ref="Q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5371,0 - 612 первонач.
+59,9 добавляют на 612 февральской думой
+60,1 добавляют на 612 мартовской думой
-120,0 снимают авг.думой</t>
        </r>
      </text>
    </comment>
    <comment ref="R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5500,4 - 612 первонач.
</t>
        </r>
      </text>
    </comment>
    <comment ref="Q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9,5</t>
        </r>
      </text>
    </comment>
    <comment ref="R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0</t>
        </r>
      </text>
    </comment>
    <comment ref="Q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0</t>
        </r>
      </text>
    </comment>
    <comment ref="R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0</t>
        </r>
      </text>
    </comment>
    <comment ref="S61" authorId="1">
      <text>
        <r>
          <rPr>
            <b/>
            <sz val="9"/>
            <rFont val="Tahoma"/>
            <family val="2"/>
          </rPr>
          <t>Сметанина Н.А.:</t>
        </r>
        <r>
          <rPr>
            <sz val="9"/>
            <rFont val="Tahoma"/>
            <family val="2"/>
          </rPr>
          <t xml:space="preserve">
5626,3 - 612 первонач.</t>
        </r>
      </text>
    </comment>
    <comment ref="S63" authorId="1">
      <text>
        <r>
          <rPr>
            <b/>
            <sz val="9"/>
            <rFont val="Tahoma"/>
            <family val="2"/>
          </rPr>
          <t>Сметанина Н.А.:</t>
        </r>
        <r>
          <rPr>
            <sz val="9"/>
            <rFont val="Tahoma"/>
            <family val="2"/>
          </rPr>
          <t xml:space="preserve">
612 первонач 0</t>
        </r>
      </text>
    </comment>
    <comment ref="S62" authorId="1">
      <text>
        <r>
          <rPr>
            <b/>
            <sz val="9"/>
            <rFont val="Tahoma"/>
            <family val="2"/>
          </rPr>
          <t>Сметанина Н.А.:</t>
        </r>
        <r>
          <rPr>
            <sz val="9"/>
            <rFont val="Tahoma"/>
            <family val="2"/>
          </rPr>
          <t xml:space="preserve">
612 первонач. 0</t>
        </r>
      </text>
    </comment>
  </commentList>
</comments>
</file>

<file path=xl/sharedStrings.xml><?xml version="1.0" encoding="utf-8"?>
<sst xmlns="http://schemas.openxmlformats.org/spreadsheetml/2006/main" count="306" uniqueCount="115">
  <si>
    <t>ПРОГНОЗ</t>
  </si>
  <si>
    <t>сводных показателей муниципальных заданий на оказание</t>
  </si>
  <si>
    <t>муниципальных услуг (выполнение работ) муниципальными</t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</si>
  <si>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</si>
  <si>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</si>
  <si>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</si>
  <si>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</t>
  </si>
  <si>
    <t>Расходы бюджета города Пензы на оказание муниципальной услуги (выполнение работы), тыс. рублей</t>
  </si>
  <si>
    <t>2016 г</t>
  </si>
  <si>
    <t>2020 г</t>
  </si>
  <si>
    <t>2015 г</t>
  </si>
  <si>
    <t>2017 г</t>
  </si>
  <si>
    <t>2018 г</t>
  </si>
  <si>
    <t>2019 г</t>
  </si>
  <si>
    <t>Управление образования города Пензы</t>
  </si>
  <si>
    <t>Подпрограмма 1. Развитие дошкольного, общего и дополнительного образования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</si>
  <si>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</si>
  <si>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 xml:space="preserve">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</si>
  <si>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Организация предоставления дополнительного образования</t>
  </si>
  <si>
    <t>Организация отдыха детей</t>
  </si>
  <si>
    <t xml:space="preserve"> Обслуживание зданий, помещений, сооружений, территорий учреждений образования, транспортное обеспечение и техническое сопровождение</t>
  </si>
  <si>
    <t>к муниципальной программе города Пензы</t>
  </si>
  <si>
    <t>Организация мероприятий в сфере образования</t>
  </si>
  <si>
    <t xml:space="preserve">воспитанник
</t>
  </si>
  <si>
    <t xml:space="preserve">учащийся
</t>
  </si>
  <si>
    <t>штука</t>
  </si>
  <si>
    <t>мероприятия</t>
  </si>
  <si>
    <t>количество воспитанников</t>
  </si>
  <si>
    <t>количество обучающихся</t>
  </si>
  <si>
    <t>количество штук</t>
  </si>
  <si>
    <t>количество мероприятий</t>
  </si>
  <si>
    <t>Ответственный исполнитель муниципальной программы города Пензы</t>
  </si>
  <si>
    <t>Приложение № 5</t>
  </si>
  <si>
    <t>"Развитие образования в городе Пензе на 2015 - 2020 годы"</t>
  </si>
  <si>
    <t>учреждениями города Пензы по муниципальной программе города Пензы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</si>
  <si>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</si>
  <si>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№ п/п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</si>
  <si>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</si>
  <si>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Мероприятие. 1.6. Организация обучения по программам дополнительного образования</t>
  </si>
  <si>
    <t>Мероприятие. 1.7. Организация каникулярного отдыха детей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</si>
  <si>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</si>
  <si>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</si>
  <si>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Мероприятие 1.5. Создание условий для предоставления общедоступного и бесплатного общего образования                                                                                      </t>
  </si>
  <si>
    <t>Мероприятие 1.19. Организация мероприятий в общеобразовательных учреждениях и учреждениях дополнительного образования</t>
  </si>
  <si>
    <t>расчет по моему индикатору</t>
  </si>
  <si>
    <t>к постановлению администрации города Пензы</t>
  </si>
  <si>
    <t xml:space="preserve">                        от              №            </t>
  </si>
  <si>
    <t>Гвоздев В.В.</t>
  </si>
  <si>
    <t>Приложение № 2</t>
  </si>
  <si>
    <t>Первый заместитель главы  администрации города Пензы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</si>
  <si>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</si>
  <si>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</si>
  <si>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</si>
  <si>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</si>
  <si>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</si>
  <si>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</si>
  <si>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Мероприятие 1.18. Организация мероприятий в общеобразовательных учреждениях и учреждениях дополнительного образования</t>
  </si>
  <si>
    <t>1-4 кл</t>
  </si>
  <si>
    <t>5-9 кл</t>
  </si>
  <si>
    <t>10-11 кл</t>
  </si>
  <si>
    <t>всего</t>
  </si>
  <si>
    <t>средн.2016</t>
  </si>
  <si>
    <t>средн.2017</t>
  </si>
  <si>
    <t>сред.2018</t>
  </si>
  <si>
    <t>сред.2019</t>
  </si>
  <si>
    <t>сред.2020</t>
  </si>
  <si>
    <t>Реализация основных общеобразовательных программ основного общего образования</t>
  </si>
  <si>
    <t>число обучающихся</t>
  </si>
  <si>
    <t>человек</t>
  </si>
  <si>
    <t>субвенция</t>
  </si>
  <si>
    <t>Реализация адаптированных основных общеобразовательных программ начального общего образования</t>
  </si>
  <si>
    <t>число детей</t>
  </si>
  <si>
    <t>Реализация дополнительных общеразвивающих программ</t>
  </si>
  <si>
    <t>количество человек</t>
  </si>
  <si>
    <t>адаптир. (местн.)</t>
  </si>
  <si>
    <t>адаптир. (субв.)</t>
  </si>
  <si>
    <t>сады субв</t>
  </si>
  <si>
    <t>сады местн.</t>
  </si>
  <si>
    <t>местные</t>
  </si>
  <si>
    <t>школы местн+субв</t>
  </si>
  <si>
    <t>допы</t>
  </si>
  <si>
    <t>лаг.</t>
  </si>
  <si>
    <t>мер.</t>
  </si>
  <si>
    <t>индикатор</t>
  </si>
  <si>
    <t>-</t>
  </si>
  <si>
    <t>число человеко-часов пребывания</t>
  </si>
  <si>
    <t>человеко-час</t>
  </si>
  <si>
    <t>Единица измерения объема муниципаль-ной услуги (работы)</t>
  </si>
  <si>
    <t>Объем муниципальной услуги  (работы) по годам реализации муниципальной программы</t>
  </si>
  <si>
    <t>Расходы бюджета города Пензы на финансовое обеспечение выполнения муниципального задания, тыс. рублей</t>
  </si>
  <si>
    <t>Всего за период реализации программы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</si>
  <si>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</si>
  <si>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Организация предоставления дополнительного образования</t>
  </si>
  <si>
    <t>учащийся</t>
  </si>
  <si>
    <t>воспитанник</t>
  </si>
  <si>
    <t>Обслуживание зданий, помещений, сооружений, территорий учреждений образования, транспортное обеспечение и техническое сопровождение</t>
  </si>
  <si>
    <t xml:space="preserve"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                                                                                      </t>
  </si>
  <si>
    <t>Огранизация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</si>
  <si>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>было</t>
  </si>
  <si>
    <t>новые</t>
  </si>
  <si>
    <t>Мероприятие. 1.7. Организация отдыха детей в загородных стационарных детских лагерях в каникулярное время</t>
  </si>
  <si>
    <t>единица</t>
  </si>
  <si>
    <t>2021 г</t>
  </si>
  <si>
    <t xml:space="preserve">               </t>
  </si>
  <si>
    <t>«Развитие образования в городе Пензе на 2015 - 2021 годы»</t>
  </si>
  <si>
    <r>
      <t>«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2015 - 2021 годы</t>
    </r>
    <r>
      <rPr>
        <sz val="11"/>
        <color indexed="8"/>
        <rFont val="Times New Roman"/>
        <family val="1"/>
      </rPr>
      <t>»</t>
    </r>
  </si>
  <si>
    <t>сред.2021</t>
  </si>
  <si>
    <t>на 01.09.2019</t>
  </si>
  <si>
    <t>на 01.09.2020</t>
  </si>
  <si>
    <t>на 01.09.2021</t>
  </si>
  <si>
    <t>на 01.09.2016</t>
  </si>
  <si>
    <t>на 01.09.2017</t>
  </si>
  <si>
    <t>на 01.09.2018</t>
  </si>
  <si>
    <t>на 01.09.2015</t>
  </si>
  <si>
    <t xml:space="preserve">                  от 30.08.2019  №1669/4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</si>
</sst>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#,##0.000000000000000"/>
    <numFmt numFmtId="175" formatCode="#,##0.0000"/>
    <numFmt numFmtId="176" formatCode="0.0"/>
    <numFmt numFmtId="177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2" fontId="9" fillId="33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172" fontId="54" fillId="0" borderId="0" xfId="0" applyNumberFormat="1" applyFont="1" applyFill="1" applyAlignment="1">
      <alignment/>
    </xf>
    <xf numFmtId="172" fontId="54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3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73" fontId="9" fillId="0" borderId="10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/>
    </xf>
    <xf numFmtId="173" fontId="9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172" fontId="4" fillId="0" borderId="0" xfId="0" applyNumberFormat="1" applyFont="1" applyFill="1" applyAlignment="1">
      <alignment/>
    </xf>
    <xf numFmtId="173" fontId="54" fillId="0" borderId="0" xfId="0" applyNumberFormat="1" applyFont="1" applyFill="1" applyAlignment="1">
      <alignment/>
    </xf>
    <xf numFmtId="4" fontId="54" fillId="0" borderId="0" xfId="0" applyNumberFormat="1" applyFont="1" applyFill="1" applyAlignment="1">
      <alignment/>
    </xf>
    <xf numFmtId="173" fontId="56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172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3" fontId="55" fillId="0" borderId="0" xfId="0" applyNumberFormat="1" applyFont="1" applyFill="1" applyBorder="1" applyAlignment="1">
      <alignment/>
    </xf>
    <xf numFmtId="173" fontId="5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175" fontId="9" fillId="0" borderId="10" xfId="0" applyNumberFormat="1" applyFont="1" applyFill="1" applyBorder="1" applyAlignment="1">
      <alignment vertical="top" wrapText="1"/>
    </xf>
    <xf numFmtId="173" fontId="1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173" fontId="9" fillId="0" borderId="10" xfId="0" applyNumberFormat="1" applyFont="1" applyFill="1" applyBorder="1" applyAlignment="1">
      <alignment horizontal="right" vertical="top" wrapText="1"/>
    </xf>
    <xf numFmtId="0" fontId="36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177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54;&#1050;&#1058;&#1071;&#1041;&#1056;&#1068;&#1057;&#1050;&#1054;&#1049;%20&#1076;&#1091;&#1084;&#1077;\09.10.2015%20&#1055;&#1054;&#1057;&#1051;&#1045;&#1044;&#1053;&#1071;&#1071;%20&#1042;&#1045;&#1056;&#1057;&#1048;&#1071;\&#1087;&#1088;&#1080;&#1083;&#8470;%20%201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%203%20(6&#1074;)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%203%20(6&#107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3674556.3</v>
          </cell>
          <cell r="F101">
            <v>3492891.4</v>
          </cell>
          <cell r="G101">
            <v>3560172.9</v>
          </cell>
          <cell r="H101">
            <v>3618133.5999999996</v>
          </cell>
          <cell r="I101">
            <v>3618133.5999999996</v>
          </cell>
          <cell r="J101">
            <v>3618133.5999999996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21">
          <cell r="M21">
            <v>468597.74718999997</v>
          </cell>
        </row>
        <row r="22">
          <cell r="M22">
            <v>8735.1</v>
          </cell>
        </row>
        <row r="25">
          <cell r="M25">
            <v>2264.3999999999996</v>
          </cell>
        </row>
        <row r="26">
          <cell r="M26">
            <v>14.91</v>
          </cell>
        </row>
        <row r="29">
          <cell r="M29">
            <v>43023.6</v>
          </cell>
        </row>
        <row r="30">
          <cell r="M30">
            <v>283.28999999999996</v>
          </cell>
        </row>
        <row r="34">
          <cell r="M34">
            <v>1697828.332</v>
          </cell>
        </row>
        <row r="35">
          <cell r="M35">
            <v>31478.668</v>
          </cell>
        </row>
        <row r="36">
          <cell r="M36">
            <v>1582581.675</v>
          </cell>
        </row>
        <row r="37">
          <cell r="M37">
            <v>29140.925</v>
          </cell>
        </row>
        <row r="39">
          <cell r="M39">
            <v>339781.0819299999</v>
          </cell>
        </row>
        <row r="40">
          <cell r="M40">
            <v>9046.065999999999</v>
          </cell>
        </row>
        <row r="41">
          <cell r="M41">
            <v>311.855</v>
          </cell>
        </row>
        <row r="42">
          <cell r="M42">
            <v>36.294999999999995</v>
          </cell>
        </row>
        <row r="43">
          <cell r="M43">
            <v>5925.245000000001</v>
          </cell>
        </row>
        <row r="44">
          <cell r="M44">
            <v>689.605</v>
          </cell>
        </row>
        <row r="45">
          <cell r="M45">
            <v>102774.521</v>
          </cell>
        </row>
        <row r="47">
          <cell r="M47">
            <v>515.1</v>
          </cell>
        </row>
        <row r="48">
          <cell r="M48">
            <v>156442</v>
          </cell>
        </row>
        <row r="50">
          <cell r="M50">
            <v>9786.900000000001</v>
          </cell>
        </row>
        <row r="51">
          <cell r="M51">
            <v>34065.399999999994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21">
          <cell r="M21">
            <v>493196.99999999994</v>
          </cell>
        </row>
        <row r="22">
          <cell r="M22">
            <v>8974.599999999999</v>
          </cell>
        </row>
        <row r="25">
          <cell r="M25">
            <v>2855.54</v>
          </cell>
        </row>
        <row r="26">
          <cell r="M26">
            <v>16.125</v>
          </cell>
        </row>
        <row r="29">
          <cell r="M29">
            <v>54255.26</v>
          </cell>
        </row>
        <row r="30">
          <cell r="M30">
            <v>306.375</v>
          </cell>
        </row>
        <row r="32">
          <cell r="M32">
            <v>1760286.7</v>
          </cell>
        </row>
        <row r="33">
          <cell r="M33">
            <v>33611.9</v>
          </cell>
        </row>
        <row r="34">
          <cell r="M34">
            <v>1710231.1</v>
          </cell>
        </row>
        <row r="35">
          <cell r="M35">
            <v>29927.1</v>
          </cell>
        </row>
        <row r="37">
          <cell r="M37">
            <v>318366.639</v>
          </cell>
        </row>
        <row r="38">
          <cell r="M38">
            <v>5623.469999999999</v>
          </cell>
        </row>
        <row r="39">
          <cell r="M39">
            <v>293.74</v>
          </cell>
        </row>
        <row r="40">
          <cell r="M40">
            <v>28.37</v>
          </cell>
        </row>
        <row r="41">
          <cell r="M41">
            <v>5581.06</v>
          </cell>
        </row>
        <row r="42">
          <cell r="M42">
            <v>539.03</v>
          </cell>
        </row>
        <row r="43">
          <cell r="M43">
            <v>101809.297</v>
          </cell>
        </row>
        <row r="44">
          <cell r="M44">
            <v>32758.000000000004</v>
          </cell>
        </row>
        <row r="45">
          <cell r="M45">
            <v>4648.5</v>
          </cell>
        </row>
        <row r="46">
          <cell r="M46">
            <v>764.62</v>
          </cell>
        </row>
        <row r="47">
          <cell r="M47">
            <v>18.51</v>
          </cell>
        </row>
        <row r="48">
          <cell r="M48">
            <v>174173.1</v>
          </cell>
        </row>
        <row r="50">
          <cell r="M50">
            <v>14527.78</v>
          </cell>
        </row>
        <row r="51">
          <cell r="M51">
            <v>351.69</v>
          </cell>
        </row>
        <row r="52">
          <cell r="M52">
            <v>27891.1</v>
          </cell>
        </row>
        <row r="56">
          <cell r="M56">
            <v>26445</v>
          </cell>
        </row>
        <row r="94">
          <cell r="M94">
            <v>12.4</v>
          </cell>
        </row>
        <row r="95">
          <cell r="M95">
            <v>679.7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7">
      <selection activeCell="J31" sqref="J31"/>
    </sheetView>
  </sheetViews>
  <sheetFormatPr defaultColWidth="9.140625" defaultRowHeight="15"/>
  <cols>
    <col min="1" max="1" width="5.00390625" style="5" customWidth="1"/>
    <col min="2" max="2" width="20.57421875" style="5" customWidth="1"/>
    <col min="3" max="3" width="18.421875" style="5" customWidth="1"/>
    <col min="4" max="4" width="10.00390625" style="5" customWidth="1"/>
    <col min="5" max="10" width="5.8515625" style="5" bestFit="1" customWidth="1"/>
    <col min="11" max="11" width="10.421875" style="5" customWidth="1"/>
    <col min="12" max="12" width="11.28125" style="5" customWidth="1"/>
    <col min="13" max="13" width="11.8515625" style="5" customWidth="1"/>
    <col min="14" max="14" width="10.57421875" style="5" customWidth="1"/>
    <col min="15" max="15" width="10.421875" style="5" customWidth="1"/>
    <col min="16" max="16" width="11.28125" style="5" customWidth="1"/>
    <col min="17" max="16384" width="9.140625" style="5" customWidth="1"/>
  </cols>
  <sheetData>
    <row r="1" spans="13:16" ht="15">
      <c r="M1" s="10"/>
      <c r="N1" s="82" t="s">
        <v>48</v>
      </c>
      <c r="O1" s="82"/>
      <c r="P1" s="82"/>
    </row>
    <row r="2" spans="13:16" ht="15">
      <c r="M2" s="83" t="s">
        <v>45</v>
      </c>
      <c r="N2" s="83"/>
      <c r="O2" s="83"/>
      <c r="P2" s="83"/>
    </row>
    <row r="3" spans="13:16" ht="15">
      <c r="M3" s="10"/>
      <c r="N3" s="84" t="s">
        <v>46</v>
      </c>
      <c r="O3" s="84"/>
      <c r="P3" s="84"/>
    </row>
    <row r="4" spans="13:16" ht="15">
      <c r="M4" s="10"/>
      <c r="N4" s="11"/>
      <c r="O4" s="11"/>
      <c r="P4" s="11"/>
    </row>
    <row r="5" ht="15"/>
    <row r="6" spans="11:16" ht="15">
      <c r="K6" s="81" t="s">
        <v>32</v>
      </c>
      <c r="L6" s="81"/>
      <c r="M6" s="81"/>
      <c r="N6" s="81"/>
      <c r="O6" s="81"/>
      <c r="P6" s="81"/>
    </row>
    <row r="7" spans="11:16" ht="15">
      <c r="K7" s="81" t="s">
        <v>21</v>
      </c>
      <c r="L7" s="81"/>
      <c r="M7" s="81"/>
      <c r="N7" s="81"/>
      <c r="O7" s="81"/>
      <c r="P7" s="81"/>
    </row>
    <row r="8" spans="11:16" ht="15">
      <c r="K8" s="81" t="s">
        <v>33</v>
      </c>
      <c r="L8" s="81"/>
      <c r="M8" s="81"/>
      <c r="N8" s="81"/>
      <c r="O8" s="81"/>
      <c r="P8" s="81"/>
    </row>
    <row r="9" ht="15"/>
    <row r="10" ht="15" hidden="1"/>
    <row r="11" ht="15"/>
    <row r="12" ht="15">
      <c r="A12" s="12"/>
    </row>
    <row r="13" spans="1:16" ht="15">
      <c r="A13" s="65" t="s">
        <v>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ht="15">
      <c r="A14" s="65" t="s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15">
      <c r="A15" s="65" t="s">
        <v>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15">
      <c r="A16" s="65" t="s">
        <v>34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15">
      <c r="A17" s="65" t="s">
        <v>35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ht="15">
      <c r="A20" s="66" t="s">
        <v>36</v>
      </c>
      <c r="B20" s="66" t="s">
        <v>3</v>
      </c>
      <c r="C20" s="66" t="s">
        <v>4</v>
      </c>
      <c r="D20" s="67" t="s">
        <v>31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</row>
    <row r="21" spans="1:16" s="6" customFormat="1" ht="12.75">
      <c r="A21" s="66"/>
      <c r="B21" s="66"/>
      <c r="C21" s="66"/>
      <c r="D21" s="66" t="s">
        <v>14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s="6" customFormat="1" ht="27" customHeight="1">
      <c r="A22" s="66"/>
      <c r="B22" s="66"/>
      <c r="C22" s="66"/>
      <c r="D22" s="80" t="s">
        <v>5</v>
      </c>
      <c r="E22" s="66" t="s">
        <v>6</v>
      </c>
      <c r="F22" s="66"/>
      <c r="G22" s="66"/>
      <c r="H22" s="66"/>
      <c r="I22" s="66"/>
      <c r="J22" s="66"/>
      <c r="K22" s="66" t="s">
        <v>7</v>
      </c>
      <c r="L22" s="66"/>
      <c r="M22" s="66"/>
      <c r="N22" s="66"/>
      <c r="O22" s="66"/>
      <c r="P22" s="66"/>
    </row>
    <row r="23" spans="1:16" s="6" customFormat="1" ht="30" customHeight="1">
      <c r="A23" s="66"/>
      <c r="B23" s="66"/>
      <c r="C23" s="66"/>
      <c r="D23" s="80"/>
      <c r="E23" s="7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</v>
      </c>
      <c r="L23" s="7" t="s">
        <v>8</v>
      </c>
      <c r="M23" s="7" t="s">
        <v>11</v>
      </c>
      <c r="N23" s="7" t="s">
        <v>12</v>
      </c>
      <c r="O23" s="7" t="s">
        <v>13</v>
      </c>
      <c r="P23" s="7" t="s">
        <v>9</v>
      </c>
    </row>
    <row r="24" spans="1:16" s="6" customFormat="1" ht="18" customHeight="1">
      <c r="A24" s="73"/>
      <c r="B24" s="71" t="s">
        <v>15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s="6" customFormat="1" ht="16.5" customHeight="1">
      <c r="A25" s="74"/>
      <c r="B25" s="72" t="s">
        <v>14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spans="1:16" s="6" customFormat="1" ht="25.5" customHeight="1">
      <c r="A26" s="74"/>
      <c r="B26" s="70" t="s">
        <v>37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1:16" s="6" customFormat="1" ht="26.25" customHeight="1">
      <c r="A27" s="75"/>
      <c r="B27" s="77" t="s">
        <v>41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9"/>
    </row>
    <row r="28" spans="1:16" s="6" customFormat="1" ht="132" customHeight="1">
      <c r="A28" s="7">
        <v>1</v>
      </c>
      <c r="B28" s="1" t="s">
        <v>16</v>
      </c>
      <c r="C28" s="1" t="s">
        <v>27</v>
      </c>
      <c r="D28" s="8" t="s">
        <v>23</v>
      </c>
      <c r="E28" s="4">
        <v>27059</v>
      </c>
      <c r="F28" s="4">
        <v>27556</v>
      </c>
      <c r="G28" s="4">
        <v>27756</v>
      </c>
      <c r="H28" s="4">
        <v>27929</v>
      </c>
      <c r="I28" s="4">
        <f>H28</f>
        <v>27929</v>
      </c>
      <c r="J28" s="4">
        <f>I28</f>
        <v>27929</v>
      </c>
      <c r="K28" s="3">
        <f>330539.2+1433304.7-13971.2-178.6-55754.9-351.8+24845.8+869</f>
        <v>1719302.2</v>
      </c>
      <c r="L28" s="3">
        <f>350606.6+1375535.2-31572.8</f>
        <v>1694568.9999999998</v>
      </c>
      <c r="M28" s="3">
        <f>354942.6+1381520.7-31572.2</f>
        <v>1704891.0999999999</v>
      </c>
      <c r="N28" s="3">
        <v>1736463.2999999998</v>
      </c>
      <c r="O28" s="3">
        <v>1736463.2999999998</v>
      </c>
      <c r="P28" s="3">
        <v>1736463.2999999998</v>
      </c>
    </row>
    <row r="29" spans="1:16" s="6" customFormat="1" ht="12.75">
      <c r="A29" s="73"/>
      <c r="B29" s="70" t="s">
        <v>42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6" s="6" customFormat="1" ht="27.75" customHeight="1">
      <c r="A30" s="75"/>
      <c r="B30" s="77" t="s">
        <v>41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9"/>
    </row>
    <row r="31" spans="1:16" s="6" customFormat="1" ht="140.25">
      <c r="A31" s="7">
        <v>2</v>
      </c>
      <c r="B31" s="1" t="s">
        <v>17</v>
      </c>
      <c r="C31" s="1" t="s">
        <v>28</v>
      </c>
      <c r="D31" s="7" t="s">
        <v>24</v>
      </c>
      <c r="E31" s="4">
        <v>44110</v>
      </c>
      <c r="F31" s="4">
        <v>45759</v>
      </c>
      <c r="G31" s="4">
        <v>46764</v>
      </c>
      <c r="H31" s="4">
        <f>G31</f>
        <v>46764</v>
      </c>
      <c r="I31" s="4">
        <f>H31</f>
        <v>46764</v>
      </c>
      <c r="J31" s="4">
        <f>I31</f>
        <v>46764</v>
      </c>
      <c r="K31" s="15">
        <f>296614.6+1242544.7-8058.4-184.1-11-12.2-12.2+202.9+570.3+20075.7+48.4+43009.7+919.9-105.5-14112.4-48.4+696.5-97.3+776.5+933.3-240.2-0.3+3000-0.8-42.3</f>
        <v>1586467.3999999997</v>
      </c>
      <c r="L31" s="3">
        <f>281270.5+1133750.5-11-25974.7-28.2-38.3</f>
        <v>1388968.8</v>
      </c>
      <c r="M31" s="3">
        <f>281270.5+1151658.2-11-26270.6-28.2-38.3</f>
        <v>1406580.5999999999</v>
      </c>
      <c r="N31" s="3">
        <v>1432928.7</v>
      </c>
      <c r="O31" s="3">
        <v>1432928.7</v>
      </c>
      <c r="P31" s="3">
        <v>1432928.7</v>
      </c>
    </row>
    <row r="32" spans="1:16" s="6" customFormat="1" ht="12.75">
      <c r="A32" s="7"/>
      <c r="B32" s="76" t="s">
        <v>38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s="6" customFormat="1" ht="51">
      <c r="A33" s="7">
        <v>3</v>
      </c>
      <c r="B33" s="1" t="s">
        <v>18</v>
      </c>
      <c r="C33" s="1" t="s">
        <v>27</v>
      </c>
      <c r="D33" s="8" t="s">
        <v>23</v>
      </c>
      <c r="E33" s="4">
        <v>25235</v>
      </c>
      <c r="F33" s="4">
        <v>25235</v>
      </c>
      <c r="G33" s="4">
        <f>F33</f>
        <v>25235</v>
      </c>
      <c r="H33" s="4">
        <f>G33</f>
        <v>25235</v>
      </c>
      <c r="I33" s="4">
        <f>H33</f>
        <v>25235</v>
      </c>
      <c r="J33" s="4">
        <f>I33</f>
        <v>25235</v>
      </c>
      <c r="K33" s="15">
        <f>255875-1278.5-68.6-13718+12.2-629.1+1120.2-1005.2-15.8+240.5</f>
        <v>240532.7</v>
      </c>
      <c r="L33" s="3">
        <f>281065.8-68.6+28.2</f>
        <v>281025.4</v>
      </c>
      <c r="M33" s="3">
        <f>320413.4-68.6+28.2</f>
        <v>320373.00000000006</v>
      </c>
      <c r="N33" s="3">
        <v>320413.4</v>
      </c>
      <c r="O33" s="3">
        <v>320413.4</v>
      </c>
      <c r="P33" s="3">
        <v>320413.4</v>
      </c>
    </row>
    <row r="34" spans="1:16" s="6" customFormat="1" ht="12.75">
      <c r="A34" s="7"/>
      <c r="B34" s="76" t="s">
        <v>39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1:16" s="6" customFormat="1" ht="28.5" customHeight="1">
      <c r="A35" s="7">
        <v>4</v>
      </c>
      <c r="B35" s="1" t="s">
        <v>19</v>
      </c>
      <c r="C35" s="1" t="s">
        <v>27</v>
      </c>
      <c r="D35" s="8" t="s">
        <v>23</v>
      </c>
      <c r="E35" s="4">
        <v>710</v>
      </c>
      <c r="F35" s="4">
        <v>710</v>
      </c>
      <c r="G35" s="4">
        <v>710</v>
      </c>
      <c r="H35" s="4">
        <v>710</v>
      </c>
      <c r="I35" s="4">
        <v>710</v>
      </c>
      <c r="J35" s="4">
        <v>710</v>
      </c>
      <c r="K35" s="3">
        <f>7265-250.2</f>
        <v>7014.8</v>
      </c>
      <c r="L35" s="3">
        <v>7265</v>
      </c>
      <c r="M35" s="3">
        <f>L35</f>
        <v>7265</v>
      </c>
      <c r="N35" s="3">
        <f>L35</f>
        <v>7265</v>
      </c>
      <c r="O35" s="3">
        <f>L35</f>
        <v>7265</v>
      </c>
      <c r="P35" s="3">
        <f>L35</f>
        <v>7265</v>
      </c>
    </row>
    <row r="36" spans="1:16" s="6" customFormat="1" ht="29.25" customHeight="1">
      <c r="A36" s="7"/>
      <c r="B36" s="76" t="s">
        <v>40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s="6" customFormat="1" ht="119.25" customHeight="1">
      <c r="A37" s="7">
        <v>5</v>
      </c>
      <c r="B37" s="1" t="s">
        <v>20</v>
      </c>
      <c r="C37" s="1" t="s">
        <v>29</v>
      </c>
      <c r="D37" s="9" t="s">
        <v>25</v>
      </c>
      <c r="E37" s="4">
        <v>4473</v>
      </c>
      <c r="F37" s="4">
        <v>4473</v>
      </c>
      <c r="G37" s="4">
        <v>4473</v>
      </c>
      <c r="H37" s="4">
        <v>4473</v>
      </c>
      <c r="I37" s="4">
        <v>4473</v>
      </c>
      <c r="J37" s="4">
        <v>4473</v>
      </c>
      <c r="K37" s="15">
        <f>120458.8-275.1+43+42.8-208.7</f>
        <v>120060.8</v>
      </c>
      <c r="L37" s="3">
        <v>120458.8</v>
      </c>
      <c r="M37" s="3">
        <v>120458.8</v>
      </c>
      <c r="N37" s="3">
        <f>L37</f>
        <v>120458.8</v>
      </c>
      <c r="O37" s="3">
        <f>L37</f>
        <v>120458.8</v>
      </c>
      <c r="P37" s="3">
        <f>L37</f>
        <v>120458.8</v>
      </c>
    </row>
    <row r="38" spans="1:16" ht="15">
      <c r="A38" s="7"/>
      <c r="B38" s="76" t="s">
        <v>43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43.5" customHeight="1">
      <c r="A39" s="7">
        <v>6</v>
      </c>
      <c r="B39" s="1" t="s">
        <v>22</v>
      </c>
      <c r="C39" s="1" t="s">
        <v>30</v>
      </c>
      <c r="D39" s="2" t="s">
        <v>26</v>
      </c>
      <c r="E39" s="4">
        <v>42</v>
      </c>
      <c r="F39" s="4">
        <v>42</v>
      </c>
      <c r="G39" s="4">
        <v>42</v>
      </c>
      <c r="H39" s="4">
        <f>G39</f>
        <v>42</v>
      </c>
      <c r="I39" s="4">
        <f>H39</f>
        <v>42</v>
      </c>
      <c r="J39" s="4">
        <f>I39</f>
        <v>42</v>
      </c>
      <c r="K39" s="3">
        <v>304.4</v>
      </c>
      <c r="L39" s="3">
        <v>304.4</v>
      </c>
      <c r="M39" s="3">
        <f>L39</f>
        <v>304.4</v>
      </c>
      <c r="N39" s="3">
        <f>L39</f>
        <v>304.4</v>
      </c>
      <c r="O39" s="3">
        <f>L39</f>
        <v>304.4</v>
      </c>
      <c r="P39" s="3">
        <f>L39</f>
        <v>304.4</v>
      </c>
    </row>
    <row r="40" ht="15"/>
    <row r="41" spans="11:16" ht="15" hidden="1">
      <c r="K41" s="14">
        <f aca="true" t="shared" si="0" ref="K41:P41">K28+K31+K35+K37+K39+K33</f>
        <v>3673682.2999999993</v>
      </c>
      <c r="L41" s="14">
        <f t="shared" si="0"/>
        <v>3492591.3999999994</v>
      </c>
      <c r="M41" s="14">
        <f t="shared" si="0"/>
        <v>3559872.8999999994</v>
      </c>
      <c r="N41" s="14">
        <f t="shared" si="0"/>
        <v>3617833.5999999996</v>
      </c>
      <c r="O41" s="14">
        <f t="shared" si="0"/>
        <v>3617833.5999999996</v>
      </c>
      <c r="P41" s="14">
        <f t="shared" si="0"/>
        <v>3617833.5999999996</v>
      </c>
    </row>
    <row r="42" spans="11:16" ht="15" hidden="1">
      <c r="K42" s="14">
        <f>K41-'[1]Лист1'!$E$101</f>
        <v>-874.0000000004657</v>
      </c>
      <c r="L42" s="14">
        <f>L41-'[1]Лист1'!$F$101</f>
        <v>-300.00000000046566</v>
      </c>
      <c r="M42" s="14">
        <f>M41-'[1]Лист1'!$G$101</f>
        <v>-300.00000000046566</v>
      </c>
      <c r="N42" s="14">
        <f>N41-'[1]Лист1'!$H$101</f>
        <v>-300</v>
      </c>
      <c r="O42" s="14">
        <f>O41-'[1]Лист1'!$I$101</f>
        <v>-300</v>
      </c>
      <c r="P42" s="14">
        <f>P41-'[1]Лист1'!$J$101</f>
        <v>-300</v>
      </c>
    </row>
    <row r="43" spans="11:16" ht="15" hidden="1">
      <c r="K43" s="14"/>
      <c r="L43" s="14"/>
      <c r="M43" s="14"/>
      <c r="N43" s="14"/>
      <c r="O43" s="14"/>
      <c r="P43" s="14"/>
    </row>
    <row r="44" spans="11:17" ht="15" hidden="1">
      <c r="K44" s="16">
        <f aca="true" t="shared" si="1" ref="K44:P44">K31/E31</f>
        <v>35.96616186805712</v>
      </c>
      <c r="L44" s="16">
        <f t="shared" si="1"/>
        <v>30.354002491313185</v>
      </c>
      <c r="M44" s="16">
        <f t="shared" si="1"/>
        <v>30.078278162689244</v>
      </c>
      <c r="N44" s="16">
        <f t="shared" si="1"/>
        <v>30.641705157813703</v>
      </c>
      <c r="O44" s="16">
        <f t="shared" si="1"/>
        <v>30.641705157813703</v>
      </c>
      <c r="P44" s="16">
        <f t="shared" si="1"/>
        <v>30.641705157813703</v>
      </c>
      <c r="Q44" s="5" t="s">
        <v>44</v>
      </c>
    </row>
    <row r="45" spans="11:16" ht="15">
      <c r="K45" s="14"/>
      <c r="L45" s="14"/>
      <c r="M45" s="14"/>
      <c r="N45" s="14"/>
      <c r="O45" s="14"/>
      <c r="P45" s="14"/>
    </row>
    <row r="46" spans="11:16" ht="15">
      <c r="K46" s="14"/>
      <c r="L46" s="14"/>
      <c r="M46" s="14"/>
      <c r="N46" s="14"/>
      <c r="O46" s="14"/>
      <c r="P46" s="14"/>
    </row>
    <row r="47" spans="2:13" ht="15">
      <c r="B47" s="5" t="s">
        <v>49</v>
      </c>
      <c r="K47" s="14"/>
      <c r="M47" s="5" t="s">
        <v>47</v>
      </c>
    </row>
    <row r="48" spans="11:16" ht="15">
      <c r="K48" s="14"/>
      <c r="L48" s="14"/>
      <c r="M48" s="14"/>
      <c r="N48" s="14"/>
      <c r="O48" s="14"/>
      <c r="P48" s="14"/>
    </row>
    <row r="49" spans="11:16" ht="15">
      <c r="K49" s="14"/>
      <c r="L49" s="14"/>
      <c r="M49" s="14"/>
      <c r="N49" s="14"/>
      <c r="O49" s="14"/>
      <c r="P49" s="14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2" ht="15">
      <c r="K62" s="14"/>
    </row>
  </sheetData>
  <sheetProtection/>
  <mergeCells count="32">
    <mergeCell ref="K6:P6"/>
    <mergeCell ref="K7:P7"/>
    <mergeCell ref="K8:P8"/>
    <mergeCell ref="N1:P1"/>
    <mergeCell ref="M2:P2"/>
    <mergeCell ref="N3:P3"/>
    <mergeCell ref="B38:P38"/>
    <mergeCell ref="E22:J22"/>
    <mergeCell ref="B34:P34"/>
    <mergeCell ref="B36:P36"/>
    <mergeCell ref="B26:P26"/>
    <mergeCell ref="B27:P27"/>
    <mergeCell ref="B30:P30"/>
    <mergeCell ref="B32:P32"/>
    <mergeCell ref="D22:D23"/>
    <mergeCell ref="K22:P22"/>
    <mergeCell ref="A20:A23"/>
    <mergeCell ref="B20:B23"/>
    <mergeCell ref="C20:C23"/>
    <mergeCell ref="D20:P20"/>
    <mergeCell ref="B29:P29"/>
    <mergeCell ref="B24:P24"/>
    <mergeCell ref="B25:P25"/>
    <mergeCell ref="D21:P21"/>
    <mergeCell ref="A24:A27"/>
    <mergeCell ref="A29:A30"/>
    <mergeCell ref="A19:P19"/>
    <mergeCell ref="A13:P13"/>
    <mergeCell ref="A14:P14"/>
    <mergeCell ref="A15:P15"/>
    <mergeCell ref="A16:P16"/>
    <mergeCell ref="A17:P17"/>
  </mergeCells>
  <printOptions/>
  <pageMargins left="0" right="0" top="0.24" bottom="0.19" header="0.16" footer="0.15"/>
  <pageSetup horizontalDpi="600" verticalDpi="600" orientation="landscape" paperSize="9" scale="90" r:id="rId3"/>
  <rowBreaks count="1" manualBreakCount="1">
    <brk id="3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6"/>
  <sheetViews>
    <sheetView tabSelected="1" view="pageBreakPreview" zoomScaleSheetLayoutView="100" zoomScalePageLayoutView="0" workbookViewId="0" topLeftCell="A1">
      <selection activeCell="K52" sqref="K52"/>
    </sheetView>
  </sheetViews>
  <sheetFormatPr defaultColWidth="9.140625" defaultRowHeight="15"/>
  <cols>
    <col min="1" max="1" width="5.00390625" style="25" customWidth="1"/>
    <col min="2" max="2" width="28.421875" style="5" customWidth="1"/>
    <col min="3" max="3" width="12.7109375" style="5" customWidth="1"/>
    <col min="4" max="4" width="12.00390625" style="5" customWidth="1"/>
    <col min="5" max="5" width="6.7109375" style="17" customWidth="1"/>
    <col min="6" max="6" width="6.421875" style="5" customWidth="1"/>
    <col min="7" max="7" width="8.57421875" style="5" customWidth="1"/>
    <col min="8" max="8" width="8.140625" style="5" customWidth="1"/>
    <col min="9" max="11" width="7.8515625" style="5" customWidth="1"/>
    <col min="12" max="12" width="10.57421875" style="5" customWidth="1"/>
    <col min="13" max="13" width="9.421875" style="17" customWidth="1"/>
    <col min="14" max="14" width="12.57421875" style="5" customWidth="1"/>
    <col min="15" max="15" width="12.140625" style="5" customWidth="1"/>
    <col min="16" max="16" width="13.28125" style="5" bestFit="1" customWidth="1"/>
    <col min="17" max="17" width="11.140625" style="5" bestFit="1" customWidth="1"/>
    <col min="18" max="18" width="11.28125" style="5" customWidth="1"/>
    <col min="19" max="19" width="11.140625" style="5" customWidth="1"/>
    <col min="20" max="20" width="13.28125" style="5" customWidth="1"/>
    <col min="21" max="22" width="9.140625" style="25" customWidth="1"/>
    <col min="23" max="24" width="0" style="25" hidden="1" customWidth="1"/>
    <col min="25" max="25" width="12.28125" style="25" hidden="1" customWidth="1"/>
    <col min="26" max="26" width="12.140625" style="25" hidden="1" customWidth="1"/>
    <col min="27" max="27" width="11.00390625" style="25" hidden="1" customWidth="1"/>
    <col min="28" max="31" width="12.140625" style="25" hidden="1" customWidth="1"/>
    <col min="32" max="32" width="14.57421875" style="25" hidden="1" customWidth="1"/>
    <col min="33" max="33" width="13.421875" style="25" hidden="1" customWidth="1"/>
    <col min="34" max="34" width="13.57421875" style="25" hidden="1" customWidth="1"/>
    <col min="35" max="35" width="14.421875" style="25" hidden="1" customWidth="1"/>
    <col min="36" max="36" width="12.7109375" style="25" hidden="1" customWidth="1"/>
    <col min="37" max="37" width="12.7109375" style="5" hidden="1" customWidth="1"/>
    <col min="38" max="38" width="0" style="5" hidden="1" customWidth="1"/>
    <col min="39" max="16384" width="9.140625" style="5" customWidth="1"/>
  </cols>
  <sheetData>
    <row r="1" spans="16:20" s="25" customFormat="1" ht="15">
      <c r="P1" s="82"/>
      <c r="Q1" s="82"/>
      <c r="R1" s="82"/>
      <c r="S1" s="49"/>
      <c r="T1" s="50" t="s">
        <v>48</v>
      </c>
    </row>
    <row r="2" spans="14:20" s="25" customFormat="1" ht="15">
      <c r="N2" s="60"/>
      <c r="O2" s="60"/>
      <c r="P2" s="60"/>
      <c r="Q2" s="60"/>
      <c r="R2" s="60"/>
      <c r="S2" s="50"/>
      <c r="T2" s="50" t="s">
        <v>45</v>
      </c>
    </row>
    <row r="3" spans="16:20" s="25" customFormat="1" ht="15">
      <c r="P3" s="84" t="s">
        <v>103</v>
      </c>
      <c r="Q3" s="84"/>
      <c r="R3" s="84"/>
      <c r="S3" s="11"/>
      <c r="T3" s="50" t="s">
        <v>114</v>
      </c>
    </row>
    <row r="4" spans="16:20" s="25" customFormat="1" ht="15">
      <c r="P4" s="11"/>
      <c r="Q4" s="11"/>
      <c r="R4" s="11"/>
      <c r="S4" s="11"/>
      <c r="T4" s="42"/>
    </row>
    <row r="5" s="25" customFormat="1" ht="15">
      <c r="T5" s="60"/>
    </row>
    <row r="6" spans="13:20" s="25" customFormat="1" ht="15">
      <c r="M6" s="83"/>
      <c r="N6" s="83"/>
      <c r="O6" s="83"/>
      <c r="P6" s="83"/>
      <c r="Q6" s="83"/>
      <c r="R6" s="83"/>
      <c r="S6" s="50"/>
      <c r="T6" s="50" t="s">
        <v>32</v>
      </c>
    </row>
    <row r="7" spans="13:20" s="25" customFormat="1" ht="15">
      <c r="M7" s="60"/>
      <c r="N7" s="60"/>
      <c r="O7" s="60"/>
      <c r="P7" s="60"/>
      <c r="Q7" s="60"/>
      <c r="R7" s="60"/>
      <c r="S7" s="50"/>
      <c r="T7" s="50" t="s">
        <v>21</v>
      </c>
    </row>
    <row r="8" spans="13:20" s="25" customFormat="1" ht="15">
      <c r="M8" s="60"/>
      <c r="N8" s="60"/>
      <c r="O8" s="60"/>
      <c r="P8" s="60"/>
      <c r="Q8" s="60"/>
      <c r="R8" s="60"/>
      <c r="S8" s="50"/>
      <c r="T8" s="50" t="s">
        <v>104</v>
      </c>
    </row>
    <row r="9" ht="15"/>
    <row r="10" ht="15" hidden="1"/>
    <row r="11" ht="15"/>
    <row r="12" spans="1:20" ht="15">
      <c r="A12" s="41"/>
      <c r="O12" s="24"/>
      <c r="P12" s="24"/>
      <c r="Q12" s="24"/>
      <c r="R12" s="24"/>
      <c r="S12" s="24"/>
      <c r="T12" s="24"/>
    </row>
    <row r="13" spans="1:20" ht="15">
      <c r="A13" s="65" t="s">
        <v>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0" ht="15">
      <c r="A14" s="65" t="s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spans="1:20" ht="15">
      <c r="A15" s="65" t="s">
        <v>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0" ht="15">
      <c r="A16" s="65" t="s">
        <v>34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1:20" ht="15">
      <c r="A17" s="65" t="s">
        <v>105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1:20" ht="15">
      <c r="A18" s="42"/>
      <c r="B18" s="13"/>
      <c r="C18" s="13"/>
      <c r="D18" s="13"/>
      <c r="E18" s="18"/>
      <c r="F18" s="13"/>
      <c r="G18" s="13"/>
      <c r="H18" s="13"/>
      <c r="I18" s="13"/>
      <c r="J18" s="13"/>
      <c r="K18" s="13"/>
      <c r="L18" s="13"/>
      <c r="M18" s="18"/>
      <c r="N18" s="13"/>
      <c r="O18" s="22"/>
      <c r="P18" s="21"/>
      <c r="Q18" s="21"/>
      <c r="R18" s="21"/>
      <c r="S18" s="21"/>
      <c r="T18" s="21"/>
    </row>
    <row r="19" spans="1:20" ht="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13"/>
      <c r="T19" s="13"/>
    </row>
    <row r="20" spans="1:20" ht="15">
      <c r="A20" s="85" t="s">
        <v>36</v>
      </c>
      <c r="B20" s="66" t="s">
        <v>3</v>
      </c>
      <c r="C20" s="66" t="s">
        <v>4</v>
      </c>
      <c r="D20" s="91" t="s">
        <v>31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36" s="6" customFormat="1" ht="12.75" customHeight="1">
      <c r="A21" s="85"/>
      <c r="B21" s="66"/>
      <c r="C21" s="66"/>
      <c r="D21" s="66" t="s">
        <v>14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</row>
    <row r="22" spans="1:37" s="6" customFormat="1" ht="27" customHeight="1">
      <c r="A22" s="85"/>
      <c r="B22" s="66"/>
      <c r="C22" s="66"/>
      <c r="D22" s="66" t="s">
        <v>87</v>
      </c>
      <c r="E22" s="66" t="s">
        <v>88</v>
      </c>
      <c r="F22" s="66"/>
      <c r="G22" s="66"/>
      <c r="H22" s="66"/>
      <c r="I22" s="66"/>
      <c r="J22" s="66"/>
      <c r="K22" s="66"/>
      <c r="L22" s="66"/>
      <c r="M22" s="66" t="s">
        <v>89</v>
      </c>
      <c r="N22" s="66"/>
      <c r="O22" s="66"/>
      <c r="P22" s="66"/>
      <c r="Q22" s="66"/>
      <c r="R22" s="66"/>
      <c r="S22" s="66"/>
      <c r="T22" s="66"/>
      <c r="U22" s="32"/>
      <c r="V22" s="32"/>
      <c r="W22" s="32"/>
      <c r="X22" s="32"/>
      <c r="Y22" s="33" t="s">
        <v>113</v>
      </c>
      <c r="Z22" s="33" t="s">
        <v>110</v>
      </c>
      <c r="AA22" s="33" t="s">
        <v>111</v>
      </c>
      <c r="AB22" s="33" t="s">
        <v>112</v>
      </c>
      <c r="AC22" s="33" t="s">
        <v>107</v>
      </c>
      <c r="AD22" s="33" t="s">
        <v>108</v>
      </c>
      <c r="AE22" s="33" t="s">
        <v>109</v>
      </c>
      <c r="AF22" s="33" t="s">
        <v>61</v>
      </c>
      <c r="AG22" s="33" t="s">
        <v>62</v>
      </c>
      <c r="AH22" s="33" t="s">
        <v>63</v>
      </c>
      <c r="AI22" s="33" t="s">
        <v>64</v>
      </c>
      <c r="AJ22" s="33" t="s">
        <v>65</v>
      </c>
      <c r="AK22" s="33" t="s">
        <v>106</v>
      </c>
    </row>
    <row r="23" spans="1:37" s="6" customFormat="1" ht="55.5" customHeight="1">
      <c r="A23" s="85"/>
      <c r="B23" s="66"/>
      <c r="C23" s="66"/>
      <c r="D23" s="66"/>
      <c r="E23" s="4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102</v>
      </c>
      <c r="L23" s="7" t="s">
        <v>90</v>
      </c>
      <c r="M23" s="4" t="s">
        <v>10</v>
      </c>
      <c r="N23" s="7" t="s">
        <v>8</v>
      </c>
      <c r="O23" s="7" t="s">
        <v>11</v>
      </c>
      <c r="P23" s="7" t="s">
        <v>12</v>
      </c>
      <c r="Q23" s="7" t="s">
        <v>13</v>
      </c>
      <c r="R23" s="7" t="s">
        <v>9</v>
      </c>
      <c r="S23" s="7" t="s">
        <v>102</v>
      </c>
      <c r="T23" s="7" t="s">
        <v>90</v>
      </c>
      <c r="U23" s="32"/>
      <c r="V23" s="32"/>
      <c r="W23" s="32"/>
      <c r="X23" s="32" t="s">
        <v>57</v>
      </c>
      <c r="Y23" s="32">
        <v>20128</v>
      </c>
      <c r="Z23" s="32">
        <v>21291</v>
      </c>
      <c r="AA23" s="32">
        <v>22297</v>
      </c>
      <c r="AB23" s="32">
        <v>23141</v>
      </c>
      <c r="AC23" s="32">
        <v>23341</v>
      </c>
      <c r="AD23" s="32">
        <v>23229</v>
      </c>
      <c r="AE23" s="32">
        <v>22950</v>
      </c>
      <c r="AF23" s="32">
        <f>ROUND((Y23*2+Z23)/3,0)</f>
        <v>20516</v>
      </c>
      <c r="AG23" s="32">
        <f>ROUND((Z23*2+AA23)/3,0)</f>
        <v>21626</v>
      </c>
      <c r="AH23" s="32">
        <f>ROUND((AA23*2+AB23)/3,0)</f>
        <v>22578</v>
      </c>
      <c r="AI23" s="32">
        <f>ROUND((AB23*2+AC23)/3,0)-1</f>
        <v>23207</v>
      </c>
      <c r="AJ23" s="32">
        <f>ROUND((AC23*2+AD23)/3,0)</f>
        <v>23304</v>
      </c>
      <c r="AK23" s="32">
        <f>ROUND((AD23*2+AE23)/3,0)</f>
        <v>23136</v>
      </c>
    </row>
    <row r="24" spans="1:37" s="32" customFormat="1" ht="18" customHeight="1">
      <c r="A24" s="85"/>
      <c r="B24" s="90" t="s">
        <v>15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X24" s="32" t="s">
        <v>58</v>
      </c>
      <c r="Y24" s="32">
        <v>20908</v>
      </c>
      <c r="Z24" s="32">
        <v>21698</v>
      </c>
      <c r="AA24" s="32">
        <v>22308</v>
      </c>
      <c r="AB24" s="32">
        <v>23131</v>
      </c>
      <c r="AC24" s="32">
        <v>24340</v>
      </c>
      <c r="AD24" s="32">
        <v>25608</v>
      </c>
      <c r="AE24" s="32">
        <v>27028</v>
      </c>
      <c r="AF24" s="32">
        <f>ROUND((Y24*2+Z24)/3,0)</f>
        <v>21171</v>
      </c>
      <c r="AG24" s="32">
        <f>ROUND((Z24*2+AA24)/3,0)+1</f>
        <v>21902</v>
      </c>
      <c r="AH24" s="32">
        <f>ROUND((AA24*2+AB24)/3,0)</f>
        <v>22582</v>
      </c>
      <c r="AI24" s="32">
        <f>ROUND((AB24*2+AC24)/3,0)</f>
        <v>23534</v>
      </c>
      <c r="AJ24" s="32">
        <f>ROUND((AC24*2+AD24)/3,0)-1</f>
        <v>24762</v>
      </c>
      <c r="AK24" s="32">
        <f>ROUND((AD24*2+AE24)/3,0)+1</f>
        <v>26082</v>
      </c>
    </row>
    <row r="25" spans="1:37" s="32" customFormat="1" ht="16.5" customHeight="1">
      <c r="A25" s="85"/>
      <c r="B25" s="86" t="s">
        <v>14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X25" s="32" t="s">
        <v>59</v>
      </c>
      <c r="Y25" s="32">
        <v>4339</v>
      </c>
      <c r="Z25" s="32">
        <v>4346</v>
      </c>
      <c r="AA25" s="32">
        <v>4415</v>
      </c>
      <c r="AB25" s="32">
        <v>4538</v>
      </c>
      <c r="AC25" s="32">
        <v>4748</v>
      </c>
      <c r="AD25" s="32">
        <v>4978</v>
      </c>
      <c r="AE25" s="32">
        <v>5146</v>
      </c>
      <c r="AF25" s="32">
        <f>ROUND((Y25*2+Z25)/3,0)</f>
        <v>4341</v>
      </c>
      <c r="AG25" s="32">
        <f>ROUND((Z25*2+AA25)/3,0)</f>
        <v>4369</v>
      </c>
      <c r="AH25" s="32">
        <f>ROUND((AA25*2+AB25)/3,0)</f>
        <v>4456</v>
      </c>
      <c r="AI25" s="32">
        <f>ROUND((AB25*2+AC25)/3,0)</f>
        <v>4608</v>
      </c>
      <c r="AJ25" s="32">
        <f>ROUND((AC25*2+AD25)/3,0)-1</f>
        <v>4824</v>
      </c>
      <c r="AK25" s="32">
        <f>ROUND((AD25*2+AE25)/3,0)</f>
        <v>5034</v>
      </c>
    </row>
    <row r="26" spans="1:36" s="31" customFormat="1" ht="12.75" customHeight="1">
      <c r="A26" s="85"/>
      <c r="B26" s="86" t="s">
        <v>96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32"/>
      <c r="V26" s="32"/>
      <c r="W26" s="32"/>
      <c r="X26" s="32"/>
      <c r="Y26" s="32"/>
      <c r="Z26" s="32"/>
      <c r="AA26" s="39"/>
      <c r="AB26" s="39"/>
      <c r="AC26" s="39"/>
      <c r="AD26" s="39"/>
      <c r="AE26" s="39"/>
      <c r="AF26" s="40"/>
      <c r="AG26" s="40"/>
      <c r="AH26" s="54"/>
      <c r="AI26" s="54"/>
      <c r="AJ26" s="40"/>
    </row>
    <row r="27" spans="1:36" s="31" customFormat="1" ht="29.25" customHeight="1">
      <c r="A27" s="85"/>
      <c r="B27" s="86" t="s">
        <v>41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32"/>
      <c r="V27" s="32"/>
      <c r="W27" s="32"/>
      <c r="X27" s="32"/>
      <c r="Y27" s="32"/>
      <c r="Z27" s="32"/>
      <c r="AA27" s="39"/>
      <c r="AB27" s="39"/>
      <c r="AC27" s="39"/>
      <c r="AD27" s="39"/>
      <c r="AE27" s="39"/>
      <c r="AF27" s="40"/>
      <c r="AG27" s="40"/>
      <c r="AH27" s="54"/>
      <c r="AI27" s="54"/>
      <c r="AJ27" s="54"/>
    </row>
    <row r="28" spans="1:36" s="32" customFormat="1" ht="81.75" customHeight="1">
      <c r="A28" s="4">
        <v>1</v>
      </c>
      <c r="B28" s="36" t="s">
        <v>97</v>
      </c>
      <c r="C28" s="36" t="s">
        <v>27</v>
      </c>
      <c r="D28" s="4" t="s">
        <v>94</v>
      </c>
      <c r="E28" s="4">
        <v>26822</v>
      </c>
      <c r="F28" s="4" t="s">
        <v>84</v>
      </c>
      <c r="G28" s="4" t="s">
        <v>84</v>
      </c>
      <c r="H28" s="4" t="s">
        <v>84</v>
      </c>
      <c r="I28" s="4" t="s">
        <v>84</v>
      </c>
      <c r="J28" s="4" t="s">
        <v>84</v>
      </c>
      <c r="K28" s="4" t="str">
        <f>J28</f>
        <v>-</v>
      </c>
      <c r="L28" s="4">
        <f>E28</f>
        <v>26822</v>
      </c>
      <c r="M28" s="37">
        <v>1736018.2</v>
      </c>
      <c r="N28" s="4" t="s">
        <v>84</v>
      </c>
      <c r="O28" s="4" t="s">
        <v>84</v>
      </c>
      <c r="P28" s="4" t="s">
        <v>84</v>
      </c>
      <c r="Q28" s="4" t="s">
        <v>84</v>
      </c>
      <c r="R28" s="4" t="s">
        <v>84</v>
      </c>
      <c r="S28" s="4" t="s">
        <v>84</v>
      </c>
      <c r="T28" s="37">
        <f>M28</f>
        <v>1736018.2</v>
      </c>
      <c r="AH28" s="31"/>
      <c r="AI28" s="31"/>
      <c r="AJ28" s="31"/>
    </row>
    <row r="29" spans="1:37" s="32" customFormat="1" ht="27" customHeight="1">
      <c r="A29" s="35"/>
      <c r="B29" s="86" t="s">
        <v>41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X29" s="32" t="s">
        <v>60</v>
      </c>
      <c r="Y29" s="32">
        <f aca="true" t="shared" si="0" ref="Y29:AI29">Y23+Y24+Y25</f>
        <v>45375</v>
      </c>
      <c r="Z29" s="32">
        <f t="shared" si="0"/>
        <v>47335</v>
      </c>
      <c r="AA29" s="32">
        <f t="shared" si="0"/>
        <v>49020</v>
      </c>
      <c r="AB29" s="32">
        <f t="shared" si="0"/>
        <v>50810</v>
      </c>
      <c r="AC29" s="32">
        <f t="shared" si="0"/>
        <v>52429</v>
      </c>
      <c r="AF29" s="32">
        <f>AF23+AF24+AF25</f>
        <v>46028</v>
      </c>
      <c r="AG29" s="32">
        <f t="shared" si="0"/>
        <v>47897</v>
      </c>
      <c r="AH29" s="32">
        <f t="shared" si="0"/>
        <v>49616</v>
      </c>
      <c r="AI29" s="32">
        <f t="shared" si="0"/>
        <v>51349</v>
      </c>
      <c r="AJ29" s="32">
        <f>AJ23+AJ24+AJ25</f>
        <v>52890</v>
      </c>
      <c r="AK29" s="32">
        <f>AK23+AK24+AK25</f>
        <v>54252</v>
      </c>
    </row>
    <row r="30" spans="1:37" s="32" customFormat="1" ht="43.5" customHeight="1">
      <c r="A30" s="4">
        <v>2</v>
      </c>
      <c r="B30" s="35" t="s">
        <v>50</v>
      </c>
      <c r="C30" s="35" t="s">
        <v>67</v>
      </c>
      <c r="D30" s="4" t="s">
        <v>68</v>
      </c>
      <c r="E30" s="4" t="s">
        <v>84</v>
      </c>
      <c r="F30" s="4">
        <v>27671</v>
      </c>
      <c r="G30" s="4">
        <v>27879</v>
      </c>
      <c r="H30" s="4">
        <v>28509</v>
      </c>
      <c r="I30" s="4">
        <v>29320</v>
      </c>
      <c r="J30" s="4">
        <v>29989</v>
      </c>
      <c r="K30" s="4">
        <v>30904</v>
      </c>
      <c r="L30" s="4">
        <f>F30+G30+H30+I30+J30+K30</f>
        <v>174272</v>
      </c>
      <c r="M30" s="4" t="s">
        <v>84</v>
      </c>
      <c r="N30" s="3">
        <v>1479901.2</v>
      </c>
      <c r="O30" s="3">
        <f>1501544.6+12519.5+5920.3+11148.7</f>
        <v>1531133.1</v>
      </c>
      <c r="P30" s="63">
        <f>1679625.8+15398.901+861.999+4855.1+28565.2</f>
        <v>1729307.0000000002</v>
      </c>
      <c r="Q30" s="3">
        <f>1792929.2+969.4</f>
        <v>1793898.5999999999</v>
      </c>
      <c r="R30" s="3">
        <v>1911719.1</v>
      </c>
      <c r="S30" s="3">
        <v>2037338.3</v>
      </c>
      <c r="T30" s="3">
        <f>N30+O30+P30+Q30+R30+S30</f>
        <v>10483297.3</v>
      </c>
      <c r="AB30" s="29" t="s">
        <v>78</v>
      </c>
      <c r="AF30" s="40">
        <f>292372.9+19.2-1920.7-54.1-1408+43-1419.2-35.3-23.9+54.1+12.8-793.8-0.7+33.4-25.3-157.8+78.8+428.7+20.1+8182.6+397.4+14.1+93.29</f>
        <v>295911.58999999997</v>
      </c>
      <c r="AG30" s="28">
        <f>287444.6-91.1-107.4-4704.5-334.5-399.8-427.3-384.913-1413.8-118.5+804.1+89.1+1.8+715.4+160+189.5+230.7+13192.42853+726.21652+46+315.416</f>
        <v>295933.44805</v>
      </c>
      <c r="AH30" s="40">
        <f>346615.2+237.3-7.3+79.1-50.2+3004.223+71.711+10.266-596.28445+1000-114.35007-20.527-216.76379+250.3+5008.807+233.193</f>
        <v>355504.67469</v>
      </c>
      <c r="AI30" s="64">
        <f>335328.7-1266.9+1264.1+35.9+53.9-1.14+920.9+19.5-3.76-5895.3-3.37-1.93-6.35-17.037-4.404</f>
        <v>330422.80900000007</v>
      </c>
      <c r="AJ30" s="28">
        <f>340741.8+54.4-1.16-3.81-7.742-3.162-10.98-21.823-15.83</f>
        <v>340731.693</v>
      </c>
      <c r="AK30" s="28">
        <f>343179.9+54.4-1.16-3.81-7.742-3.162-10.98-21.823-15.83</f>
        <v>343169.79300000006</v>
      </c>
    </row>
    <row r="31" spans="1:37" s="32" customFormat="1" ht="17.25" customHeight="1">
      <c r="A31" s="4"/>
      <c r="B31" s="86" t="s">
        <v>37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AF31" s="32">
        <f aca="true" t="shared" si="1" ref="AF31:AK31">AF30/AF29</f>
        <v>6.42894737985574</v>
      </c>
      <c r="AG31" s="32">
        <f t="shared" si="1"/>
        <v>6.178538281103201</v>
      </c>
      <c r="AH31" s="32">
        <f t="shared" si="1"/>
        <v>7.16512162790229</v>
      </c>
      <c r="AI31" s="32">
        <f t="shared" si="1"/>
        <v>6.4348440865450165</v>
      </c>
      <c r="AJ31" s="32">
        <f t="shared" si="1"/>
        <v>6.442270618264323</v>
      </c>
      <c r="AK31" s="32">
        <f t="shared" si="1"/>
        <v>6.325477272727274</v>
      </c>
    </row>
    <row r="32" spans="1:37" s="32" customFormat="1" ht="18" customHeight="1">
      <c r="A32" s="4">
        <v>3</v>
      </c>
      <c r="B32" s="35" t="s">
        <v>51</v>
      </c>
      <c r="C32" s="35" t="s">
        <v>71</v>
      </c>
      <c r="D32" s="4" t="s">
        <v>68</v>
      </c>
      <c r="E32" s="4" t="s">
        <v>84</v>
      </c>
      <c r="F32" s="4">
        <f aca="true" t="shared" si="2" ref="F32:K32">F30</f>
        <v>27671</v>
      </c>
      <c r="G32" s="4">
        <f t="shared" si="2"/>
        <v>27879</v>
      </c>
      <c r="H32" s="4">
        <f t="shared" si="2"/>
        <v>28509</v>
      </c>
      <c r="I32" s="4">
        <f t="shared" si="2"/>
        <v>29320</v>
      </c>
      <c r="J32" s="4">
        <f t="shared" si="2"/>
        <v>29989</v>
      </c>
      <c r="K32" s="4">
        <f t="shared" si="2"/>
        <v>30904</v>
      </c>
      <c r="L32" s="4">
        <f>F32+G32+H32+I32+J32+K32</f>
        <v>174272</v>
      </c>
      <c r="M32" s="4" t="s">
        <v>84</v>
      </c>
      <c r="N32" s="43">
        <f>347407.5-815.7-968-1908-54-410.2019-4318.5-94.9-2124.2-418.1-33.4-1340+1634.2+39.7-312.96144-92.1-2590.9+92.7+150.734</f>
        <v>333843.87066</v>
      </c>
      <c r="O32" s="43">
        <f>439593.7-24738.3-39667.5-27051.4-12304.9-555.9-420.3+2792.3+1356+457.9+8.7+458.5+11134.24418+615.98618+55.81365+15.6+8</f>
        <v>351758.44401</v>
      </c>
      <c r="P32" s="43">
        <f>494118.3-337.5-79.1+17436.506+474.793+1.001-101.881-19.2-33.63293+1226.6-112.3715+5483.566</f>
        <v>518057.08056999993</v>
      </c>
      <c r="Q32" s="44">
        <f>551572.8+910.7+89.3-55.9+723.1+45.9+360.9+587.1</f>
        <v>554233.9</v>
      </c>
      <c r="R32" s="44">
        <v>564802.6</v>
      </c>
      <c r="S32" s="44">
        <v>576600.8</v>
      </c>
      <c r="T32" s="43">
        <f>N32+O32+P32+Q32+R32+S32</f>
        <v>2899296.6952400003</v>
      </c>
      <c r="AB32" s="34"/>
      <c r="AC32" s="34"/>
      <c r="AD32" s="34"/>
      <c r="AE32" s="34"/>
      <c r="AF32" s="34">
        <v>2016</v>
      </c>
      <c r="AG32" s="34">
        <v>2017</v>
      </c>
      <c r="AH32" s="34">
        <v>2018</v>
      </c>
      <c r="AI32" s="34">
        <v>2019</v>
      </c>
      <c r="AJ32" s="34">
        <v>2020</v>
      </c>
      <c r="AK32" s="34">
        <v>2021</v>
      </c>
    </row>
    <row r="33" spans="1:37" s="31" customFormat="1" ht="12.75" customHeight="1">
      <c r="A33" s="85"/>
      <c r="B33" s="86" t="s">
        <v>42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32"/>
      <c r="V33" s="32"/>
      <c r="W33" s="32"/>
      <c r="X33" s="32"/>
      <c r="Y33" s="32"/>
      <c r="Z33" s="32"/>
      <c r="AA33" s="32">
        <f>AF33/AF30</f>
        <v>0.44572873945221275</v>
      </c>
      <c r="AB33" s="34" t="s">
        <v>57</v>
      </c>
      <c r="AC33" s="34"/>
      <c r="AD33" s="34"/>
      <c r="AE33" s="34"/>
      <c r="AF33" s="27">
        <f aca="true" t="shared" si="3" ref="AF33:AK33">ROUND(AF23*AF31,1)</f>
        <v>131896.3</v>
      </c>
      <c r="AG33" s="27">
        <f t="shared" si="3"/>
        <v>133617.1</v>
      </c>
      <c r="AH33" s="27">
        <f t="shared" si="3"/>
        <v>161774.1</v>
      </c>
      <c r="AI33" s="27">
        <f>ROUND(AI23*AI31,1)</f>
        <v>149333.4</v>
      </c>
      <c r="AJ33" s="27">
        <f t="shared" si="3"/>
        <v>150130.7</v>
      </c>
      <c r="AK33" s="27">
        <f t="shared" si="3"/>
        <v>146346.2</v>
      </c>
    </row>
    <row r="34" spans="1:37" s="31" customFormat="1" ht="26.25" customHeight="1">
      <c r="A34" s="85"/>
      <c r="B34" s="86" t="s">
        <v>41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32"/>
      <c r="V34" s="32"/>
      <c r="W34" s="32"/>
      <c r="X34" s="32"/>
      <c r="Y34" s="32"/>
      <c r="Z34" s="32"/>
      <c r="AA34" s="32">
        <f>AF34/AF30</f>
        <v>0.45995900329554523</v>
      </c>
      <c r="AB34" s="34" t="s">
        <v>58</v>
      </c>
      <c r="AC34" s="34"/>
      <c r="AD34" s="34"/>
      <c r="AE34" s="34"/>
      <c r="AF34" s="27">
        <f aca="true" t="shared" si="4" ref="AF34:AK34">ROUND(AF24*AF31,1)</f>
        <v>136107.2</v>
      </c>
      <c r="AG34" s="27">
        <f t="shared" si="4"/>
        <v>135322.3</v>
      </c>
      <c r="AH34" s="27">
        <f t="shared" si="4"/>
        <v>161802.8</v>
      </c>
      <c r="AI34" s="27">
        <f t="shared" si="4"/>
        <v>151437.6</v>
      </c>
      <c r="AJ34" s="27">
        <f t="shared" si="4"/>
        <v>159523.5</v>
      </c>
      <c r="AK34" s="27">
        <f t="shared" si="4"/>
        <v>164981.1</v>
      </c>
    </row>
    <row r="35" spans="1:37" s="31" customFormat="1" ht="91.5" customHeight="1">
      <c r="A35" s="4">
        <v>4</v>
      </c>
      <c r="B35" s="36" t="s">
        <v>91</v>
      </c>
      <c r="C35" s="35" t="s">
        <v>28</v>
      </c>
      <c r="D35" s="4" t="s">
        <v>93</v>
      </c>
      <c r="E35" s="4">
        <v>44149</v>
      </c>
      <c r="F35" s="4" t="s">
        <v>84</v>
      </c>
      <c r="G35" s="4" t="s">
        <v>84</v>
      </c>
      <c r="H35" s="4" t="s">
        <v>84</v>
      </c>
      <c r="I35" s="4" t="s">
        <v>84</v>
      </c>
      <c r="J35" s="4" t="s">
        <v>84</v>
      </c>
      <c r="K35" s="4" t="s">
        <v>84</v>
      </c>
      <c r="L35" s="4">
        <f>E35</f>
        <v>44149</v>
      </c>
      <c r="M35" s="37">
        <v>1600431.3</v>
      </c>
      <c r="N35" s="4" t="s">
        <v>84</v>
      </c>
      <c r="O35" s="4" t="s">
        <v>84</v>
      </c>
      <c r="P35" s="4" t="s">
        <v>84</v>
      </c>
      <c r="Q35" s="4" t="s">
        <v>84</v>
      </c>
      <c r="R35" s="4" t="s">
        <v>84</v>
      </c>
      <c r="S35" s="4" t="s">
        <v>84</v>
      </c>
      <c r="T35" s="37">
        <f>M35</f>
        <v>1600431.3</v>
      </c>
      <c r="U35" s="32"/>
      <c r="V35" s="32"/>
      <c r="W35" s="32"/>
      <c r="X35" s="32"/>
      <c r="Y35" s="32"/>
      <c r="Z35" s="32"/>
      <c r="AA35" s="32"/>
      <c r="AB35" s="34"/>
      <c r="AC35" s="34"/>
      <c r="AD35" s="34"/>
      <c r="AE35" s="34"/>
      <c r="AF35" s="27"/>
      <c r="AG35" s="27"/>
      <c r="AH35" s="27"/>
      <c r="AI35" s="27"/>
      <c r="AJ35" s="27"/>
      <c r="AK35" s="27"/>
    </row>
    <row r="36" spans="1:37" s="31" customFormat="1" ht="51">
      <c r="A36" s="4">
        <v>5</v>
      </c>
      <c r="B36" s="35" t="s">
        <v>52</v>
      </c>
      <c r="C36" s="35" t="s">
        <v>67</v>
      </c>
      <c r="D36" s="4" t="s">
        <v>68</v>
      </c>
      <c r="E36" s="4" t="s">
        <v>84</v>
      </c>
      <c r="F36" s="4">
        <f aca="true" t="shared" si="5" ref="F36:K36">AF23-F39</f>
        <v>20421</v>
      </c>
      <c r="G36" s="4">
        <f t="shared" si="5"/>
        <v>21461</v>
      </c>
      <c r="H36" s="4">
        <f t="shared" si="5"/>
        <v>22278</v>
      </c>
      <c r="I36" s="4">
        <f t="shared" si="5"/>
        <v>22773</v>
      </c>
      <c r="J36" s="4">
        <f t="shared" si="5"/>
        <v>22832</v>
      </c>
      <c r="K36" s="4">
        <f t="shared" si="5"/>
        <v>22698</v>
      </c>
      <c r="L36" s="4">
        <f>F36+G36+H36+I36+J36+K36</f>
        <v>132463</v>
      </c>
      <c r="M36" s="4" t="s">
        <v>84</v>
      </c>
      <c r="N36" s="44">
        <v>594449.2</v>
      </c>
      <c r="O36" s="43">
        <f>AG33+AG42-O39</f>
        <v>619675.8999999999</v>
      </c>
      <c r="P36" s="43">
        <f>AH33+AH42-P39</f>
        <v>720570.2999999999</v>
      </c>
      <c r="Q36" s="94">
        <f>AI33+AI42-Q39</f>
        <v>739222.4</v>
      </c>
      <c r="R36" s="94">
        <f>AJ33+AJ42-R39</f>
        <v>747968.3999999999</v>
      </c>
      <c r="S36" s="94">
        <f>AK33+AK42-S39</f>
        <v>773768.3999999999</v>
      </c>
      <c r="T36" s="3">
        <f>N36+O36+P36+Q36+R36+S36</f>
        <v>4195654.6</v>
      </c>
      <c r="U36" s="32"/>
      <c r="V36" s="32"/>
      <c r="W36" s="32"/>
      <c r="X36" s="32"/>
      <c r="Y36" s="32"/>
      <c r="Z36" s="32"/>
      <c r="AA36" s="32">
        <f>AF36/AF30</f>
        <v>0.09431225725224203</v>
      </c>
      <c r="AB36" s="34" t="s">
        <v>59</v>
      </c>
      <c r="AC36" s="34"/>
      <c r="AD36" s="34"/>
      <c r="AE36" s="34"/>
      <c r="AF36" s="27">
        <f aca="true" t="shared" si="6" ref="AF36:AK36">AF30-AF33-AF34</f>
        <v>27908.089999999967</v>
      </c>
      <c r="AG36" s="27">
        <f t="shared" si="6"/>
        <v>26994.048050000012</v>
      </c>
      <c r="AH36" s="27">
        <f t="shared" si="6"/>
        <v>31927.77469000002</v>
      </c>
      <c r="AI36" s="27">
        <f t="shared" si="6"/>
        <v>29651.809000000067</v>
      </c>
      <c r="AJ36" s="27">
        <f t="shared" si="6"/>
        <v>31077.493000000017</v>
      </c>
      <c r="AK36" s="27">
        <f t="shared" si="6"/>
        <v>31842.493000000046</v>
      </c>
    </row>
    <row r="37" spans="1:36" s="31" customFormat="1" ht="41.25" customHeight="1">
      <c r="A37" s="4">
        <v>6</v>
      </c>
      <c r="B37" s="35" t="s">
        <v>66</v>
      </c>
      <c r="C37" s="35" t="s">
        <v>67</v>
      </c>
      <c r="D37" s="4" t="s">
        <v>68</v>
      </c>
      <c r="E37" s="4" t="s">
        <v>84</v>
      </c>
      <c r="F37" s="4">
        <f aca="true" t="shared" si="7" ref="F37:H38">AF24</f>
        <v>21171</v>
      </c>
      <c r="G37" s="4">
        <f t="shared" si="7"/>
        <v>21902</v>
      </c>
      <c r="H37" s="4">
        <f t="shared" si="7"/>
        <v>22582</v>
      </c>
      <c r="I37" s="4">
        <f aca="true" t="shared" si="8" ref="I37:K38">AI24</f>
        <v>23534</v>
      </c>
      <c r="J37" s="4">
        <f t="shared" si="8"/>
        <v>24762</v>
      </c>
      <c r="K37" s="4">
        <f t="shared" si="8"/>
        <v>26082</v>
      </c>
      <c r="L37" s="4">
        <f>F37+G37+H37+I37+J37+K37</f>
        <v>140033</v>
      </c>
      <c r="M37" s="4" t="s">
        <v>84</v>
      </c>
      <c r="N37" s="44">
        <v>843777.2</v>
      </c>
      <c r="O37" s="43">
        <f>AG34+AG44</f>
        <v>872579.8</v>
      </c>
      <c r="P37" s="43">
        <f>AH34+AH44</f>
        <v>1005993.1000000001</v>
      </c>
      <c r="Q37" s="94">
        <f>AI34+AI44</f>
        <v>1069816.9000000001</v>
      </c>
      <c r="R37" s="94">
        <f>AJ34+AJ44</f>
        <v>1141929.7999999998</v>
      </c>
      <c r="S37" s="94">
        <f>AK34+AK44</f>
        <v>1229951.8</v>
      </c>
      <c r="T37" s="3">
        <f>N37+O37+P37+Q37+R37+S37</f>
        <v>6164048.6</v>
      </c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36" s="31" customFormat="1" ht="51">
      <c r="A38" s="4">
        <v>7</v>
      </c>
      <c r="B38" s="35" t="s">
        <v>53</v>
      </c>
      <c r="C38" s="35" t="s">
        <v>67</v>
      </c>
      <c r="D38" s="4" t="s">
        <v>68</v>
      </c>
      <c r="E38" s="4" t="s">
        <v>84</v>
      </c>
      <c r="F38" s="4">
        <f t="shared" si="7"/>
        <v>4341</v>
      </c>
      <c r="G38" s="4">
        <f t="shared" si="7"/>
        <v>4369</v>
      </c>
      <c r="H38" s="4">
        <f t="shared" si="7"/>
        <v>4456</v>
      </c>
      <c r="I38" s="4">
        <f t="shared" si="8"/>
        <v>4608</v>
      </c>
      <c r="J38" s="4">
        <f t="shared" si="8"/>
        <v>4824</v>
      </c>
      <c r="K38" s="4">
        <f t="shared" si="8"/>
        <v>5034</v>
      </c>
      <c r="L38" s="4">
        <f>F38+G38+H38+I38+J38+K38</f>
        <v>27632</v>
      </c>
      <c r="M38" s="4" t="s">
        <v>84</v>
      </c>
      <c r="N38" s="44">
        <v>192077.59</v>
      </c>
      <c r="O38" s="43">
        <f>AG36+AG46</f>
        <v>194501.04805</v>
      </c>
      <c r="P38" s="43">
        <f>AH36+AH46</f>
        <v>221368.47469000003</v>
      </c>
      <c r="Q38" s="94">
        <f>AI36+AI46</f>
        <v>232128.10900000005</v>
      </c>
      <c r="R38" s="94">
        <f>AJ36+AJ46</f>
        <v>245837.893</v>
      </c>
      <c r="S38" s="94">
        <f>AK36+AK46</f>
        <v>263665.89300000004</v>
      </c>
      <c r="T38" s="43">
        <f>N38+O38+P38+Q38+R38+S38</f>
        <v>1349579.0077400003</v>
      </c>
      <c r="U38" s="32"/>
      <c r="V38" s="32"/>
      <c r="W38" s="32"/>
      <c r="X38" s="32"/>
      <c r="Y38" s="32"/>
      <c r="Z38" s="32"/>
      <c r="AA38" s="32"/>
      <c r="AB38" s="32" t="s">
        <v>69</v>
      </c>
      <c r="AC38" s="32"/>
      <c r="AD38" s="32"/>
      <c r="AE38" s="32"/>
      <c r="AF38" s="32"/>
      <c r="AG38" s="32"/>
      <c r="AH38" s="32"/>
      <c r="AI38" s="32"/>
      <c r="AJ38" s="32"/>
    </row>
    <row r="39" spans="1:36" s="31" customFormat="1" ht="51">
      <c r="A39" s="4">
        <v>8</v>
      </c>
      <c r="B39" s="35" t="s">
        <v>70</v>
      </c>
      <c r="C39" s="35" t="s">
        <v>67</v>
      </c>
      <c r="D39" s="4" t="s">
        <v>68</v>
      </c>
      <c r="E39" s="4" t="s">
        <v>84</v>
      </c>
      <c r="F39" s="4">
        <f>AF52</f>
        <v>95</v>
      </c>
      <c r="G39" s="4">
        <f>AG52</f>
        <v>165</v>
      </c>
      <c r="H39" s="4">
        <f>AH52</f>
        <v>300</v>
      </c>
      <c r="I39" s="4">
        <f>AI52</f>
        <v>434</v>
      </c>
      <c r="J39" s="4">
        <f>AJ52</f>
        <v>472</v>
      </c>
      <c r="K39" s="4">
        <v>438</v>
      </c>
      <c r="L39" s="4">
        <f>F39+G39+H39+I39+J39+K39</f>
        <v>1904</v>
      </c>
      <c r="M39" s="4" t="s">
        <v>84</v>
      </c>
      <c r="N39" s="44">
        <v>5504.7</v>
      </c>
      <c r="O39" s="43">
        <f>AG59+AG61</f>
        <v>9548.8</v>
      </c>
      <c r="P39" s="43">
        <f>AH59+AH61</f>
        <v>19295.4</v>
      </c>
      <c r="Q39" s="94">
        <f>AI59+AI61</f>
        <v>29413.600000000002</v>
      </c>
      <c r="R39" s="94">
        <f>AJ59+AJ61</f>
        <v>31992.5</v>
      </c>
      <c r="S39" s="94">
        <f>AK59+AK61</f>
        <v>29477.5</v>
      </c>
      <c r="T39" s="3">
        <f>N39+O39+P39+Q39+R39+S39</f>
        <v>125232.5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</row>
    <row r="40" spans="1:37" s="31" customFormat="1" ht="18" customHeight="1">
      <c r="A40" s="4"/>
      <c r="B40" s="86" t="s">
        <v>38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32"/>
      <c r="V40" s="32"/>
      <c r="W40" s="32"/>
      <c r="X40" s="32"/>
      <c r="Y40" s="32"/>
      <c r="Z40" s="32"/>
      <c r="AA40" s="32"/>
      <c r="AB40" s="34"/>
      <c r="AC40" s="34"/>
      <c r="AD40" s="34"/>
      <c r="AE40" s="34"/>
      <c r="AF40" s="34">
        <v>2016</v>
      </c>
      <c r="AG40" s="34">
        <v>2017</v>
      </c>
      <c r="AH40" s="34">
        <v>2018</v>
      </c>
      <c r="AI40" s="34">
        <v>2019</v>
      </c>
      <c r="AJ40" s="34">
        <v>2020</v>
      </c>
      <c r="AK40" s="34">
        <v>2021</v>
      </c>
    </row>
    <row r="41" spans="1:37" s="31" customFormat="1" ht="30" customHeight="1">
      <c r="A41" s="4">
        <v>9</v>
      </c>
      <c r="B41" s="35" t="s">
        <v>92</v>
      </c>
      <c r="C41" s="35" t="s">
        <v>27</v>
      </c>
      <c r="D41" s="4" t="s">
        <v>94</v>
      </c>
      <c r="E41" s="4">
        <v>25562</v>
      </c>
      <c r="F41" s="4" t="s">
        <v>84</v>
      </c>
      <c r="G41" s="4" t="s">
        <v>84</v>
      </c>
      <c r="H41" s="4" t="s">
        <v>84</v>
      </c>
      <c r="I41" s="4" t="s">
        <v>84</v>
      </c>
      <c r="J41" s="4" t="s">
        <v>84</v>
      </c>
      <c r="K41" s="4" t="s">
        <v>84</v>
      </c>
      <c r="L41" s="4">
        <f>E41</f>
        <v>25562</v>
      </c>
      <c r="M41" s="3">
        <v>240793.2</v>
      </c>
      <c r="N41" s="4" t="s">
        <v>84</v>
      </c>
      <c r="O41" s="4" t="s">
        <v>84</v>
      </c>
      <c r="P41" s="4" t="s">
        <v>84</v>
      </c>
      <c r="Q41" s="4" t="s">
        <v>84</v>
      </c>
      <c r="R41" s="4" t="s">
        <v>84</v>
      </c>
      <c r="S41" s="4" t="s">
        <v>84</v>
      </c>
      <c r="T41" s="3">
        <f>M41</f>
        <v>240793.2</v>
      </c>
      <c r="U41" s="32"/>
      <c r="V41" s="32"/>
      <c r="W41" s="32"/>
      <c r="X41" s="32"/>
      <c r="Y41" s="32"/>
      <c r="Z41" s="32"/>
      <c r="AA41" s="32"/>
      <c r="AB41" s="34"/>
      <c r="AC41" s="34"/>
      <c r="AD41" s="34"/>
      <c r="AE41" s="34"/>
      <c r="AF41" s="34"/>
      <c r="AG41" s="34"/>
      <c r="AH41" s="59"/>
      <c r="AI41" s="59"/>
      <c r="AJ41" s="34"/>
      <c r="AK41" s="34"/>
    </row>
    <row r="42" spans="1:37" s="31" customFormat="1" ht="28.5" customHeight="1">
      <c r="A42" s="85">
        <v>10</v>
      </c>
      <c r="B42" s="86" t="s">
        <v>72</v>
      </c>
      <c r="C42" s="35" t="s">
        <v>67</v>
      </c>
      <c r="D42" s="4" t="s">
        <v>68</v>
      </c>
      <c r="E42" s="4" t="s">
        <v>84</v>
      </c>
      <c r="F42" s="4">
        <v>26216</v>
      </c>
      <c r="G42" s="4" t="s">
        <v>84</v>
      </c>
      <c r="H42" s="4" t="s">
        <v>84</v>
      </c>
      <c r="I42" s="4" t="s">
        <v>84</v>
      </c>
      <c r="J42" s="4" t="s">
        <v>84</v>
      </c>
      <c r="K42" s="4" t="s">
        <v>84</v>
      </c>
      <c r="L42" s="4">
        <f>F42</f>
        <v>26216</v>
      </c>
      <c r="M42" s="89" t="s">
        <v>84</v>
      </c>
      <c r="N42" s="93">
        <v>258858.1</v>
      </c>
      <c r="O42" s="87">
        <f>260021.3+91.1-687.4+5.3+1003.2-267.2+159.5+504+8932.8+681.93318+276.6442+247.59</f>
        <v>270968.76738</v>
      </c>
      <c r="P42" s="87">
        <f>297414.6+24.9+7.3-57.3-44.6+4539.14+123.86-404.898-93.8+1842.7+232.019</f>
        <v>303583.92100000003</v>
      </c>
      <c r="Q42" s="95">
        <f>356351.6+177.6+211.2-53.9-142.3+90.6+3.76+5.3+281.7+17.037</f>
        <v>356942.59699999995</v>
      </c>
      <c r="R42" s="95">
        <f>370467.1-54.4-144.5+3.81+10.904+21.823</f>
        <v>370304.7369999999</v>
      </c>
      <c r="S42" s="95">
        <f>392294.7-54.4-144.5+3.81+10.904+21.823</f>
        <v>392132.33699999994</v>
      </c>
      <c r="T42" s="87">
        <f>N42+O42+P42+Q42+R42+S42</f>
        <v>1952790.45938</v>
      </c>
      <c r="U42" s="32"/>
      <c r="V42" s="32"/>
      <c r="W42" s="32"/>
      <c r="X42" s="32"/>
      <c r="Y42" s="32"/>
      <c r="Z42" s="32"/>
      <c r="AA42" s="32">
        <f>AF42/AF49</f>
        <v>0.34932353927490256</v>
      </c>
      <c r="AB42" s="34" t="s">
        <v>57</v>
      </c>
      <c r="AC42" s="34"/>
      <c r="AD42" s="34"/>
      <c r="AE42" s="34"/>
      <c r="AF42" s="27">
        <v>457297</v>
      </c>
      <c r="AG42" s="27">
        <v>495607.6</v>
      </c>
      <c r="AH42" s="27">
        <v>578091.6</v>
      </c>
      <c r="AI42" s="27">
        <v>619302.6</v>
      </c>
      <c r="AJ42" s="27">
        <v>629830.2</v>
      </c>
      <c r="AK42" s="27">
        <v>656899.7</v>
      </c>
    </row>
    <row r="43" spans="1:37" s="31" customFormat="1" ht="40.5" customHeight="1">
      <c r="A43" s="85"/>
      <c r="B43" s="86"/>
      <c r="C43" s="35" t="s">
        <v>85</v>
      </c>
      <c r="D43" s="4" t="s">
        <v>86</v>
      </c>
      <c r="E43" s="4" t="s">
        <v>84</v>
      </c>
      <c r="F43" s="4" t="s">
        <v>84</v>
      </c>
      <c r="G43" s="38">
        <v>4807715</v>
      </c>
      <c r="H43" s="38">
        <v>4654077</v>
      </c>
      <c r="I43" s="38">
        <v>5258633</v>
      </c>
      <c r="J43" s="38">
        <v>5258633</v>
      </c>
      <c r="K43" s="38">
        <v>5258633</v>
      </c>
      <c r="L43" s="38">
        <f>G43+H43+I43+J43+K43</f>
        <v>25237691</v>
      </c>
      <c r="M43" s="89"/>
      <c r="N43" s="93"/>
      <c r="O43" s="87"/>
      <c r="P43" s="87"/>
      <c r="Q43" s="95"/>
      <c r="R43" s="95"/>
      <c r="S43" s="95"/>
      <c r="T43" s="87"/>
      <c r="U43" s="32"/>
      <c r="V43" s="32"/>
      <c r="W43" s="32"/>
      <c r="X43" s="32"/>
      <c r="Y43" s="32"/>
      <c r="Z43" s="32"/>
      <c r="AA43" s="32"/>
      <c r="AB43" s="34"/>
      <c r="AC43" s="34"/>
      <c r="AD43" s="34"/>
      <c r="AE43" s="34"/>
      <c r="AF43" s="27"/>
      <c r="AG43" s="55"/>
      <c r="AH43" s="27"/>
      <c r="AI43" s="27"/>
      <c r="AJ43" s="55"/>
      <c r="AK43" s="27"/>
    </row>
    <row r="44" spans="1:37" s="31" customFormat="1" ht="12.75" customHeight="1">
      <c r="A44" s="4"/>
      <c r="B44" s="86" t="s">
        <v>100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32"/>
      <c r="V44" s="32"/>
      <c r="W44" s="32"/>
      <c r="X44" s="32"/>
      <c r="Y44" s="32"/>
      <c r="Z44" s="32"/>
      <c r="AA44" s="32">
        <f>AF44/AF49</f>
        <v>0.5281524689231398</v>
      </c>
      <c r="AB44" s="34" t="s">
        <v>58</v>
      </c>
      <c r="AC44" s="34"/>
      <c r="AD44" s="34"/>
      <c r="AE44" s="34"/>
      <c r="AF44" s="27">
        <v>691400.7</v>
      </c>
      <c r="AG44" s="27">
        <v>737257.5</v>
      </c>
      <c r="AH44" s="27">
        <v>844190.3</v>
      </c>
      <c r="AI44" s="27">
        <v>918379.3</v>
      </c>
      <c r="AJ44" s="27">
        <f>982406.2+0.1</f>
        <v>982406.2999999999</v>
      </c>
      <c r="AK44" s="27">
        <v>1064970.7</v>
      </c>
    </row>
    <row r="45" spans="1:37" s="31" customFormat="1" ht="26.25" customHeight="1">
      <c r="A45" s="4">
        <v>11</v>
      </c>
      <c r="B45" s="35" t="s">
        <v>19</v>
      </c>
      <c r="C45" s="35" t="s">
        <v>27</v>
      </c>
      <c r="D45" s="4" t="s">
        <v>94</v>
      </c>
      <c r="E45" s="4">
        <v>710</v>
      </c>
      <c r="F45" s="4" t="s">
        <v>84</v>
      </c>
      <c r="G45" s="4" t="s">
        <v>84</v>
      </c>
      <c r="H45" s="4" t="s">
        <v>84</v>
      </c>
      <c r="I45" s="4" t="s">
        <v>84</v>
      </c>
      <c r="J45" s="4" t="s">
        <v>84</v>
      </c>
      <c r="K45" s="4" t="s">
        <v>84</v>
      </c>
      <c r="L45" s="4">
        <f>E45</f>
        <v>710</v>
      </c>
      <c r="M45" s="3">
        <v>7014.8</v>
      </c>
      <c r="N45" s="4" t="s">
        <v>84</v>
      </c>
      <c r="O45" s="4" t="s">
        <v>84</v>
      </c>
      <c r="P45" s="4" t="s">
        <v>84</v>
      </c>
      <c r="Q45" s="4" t="s">
        <v>84</v>
      </c>
      <c r="R45" s="4" t="s">
        <v>84</v>
      </c>
      <c r="S45" s="4" t="s">
        <v>84</v>
      </c>
      <c r="T45" s="3">
        <f>M45</f>
        <v>7014.8</v>
      </c>
      <c r="U45" s="32"/>
      <c r="V45" s="32"/>
      <c r="W45" s="32"/>
      <c r="X45" s="32"/>
      <c r="Y45" s="32"/>
      <c r="Z45" s="32"/>
      <c r="AA45" s="32"/>
      <c r="AB45" s="34"/>
      <c r="AC45" s="34"/>
      <c r="AD45" s="34"/>
      <c r="AE45" s="34"/>
      <c r="AF45" s="27"/>
      <c r="AG45" s="55"/>
      <c r="AH45" s="27"/>
      <c r="AI45" s="27"/>
      <c r="AJ45" s="55"/>
      <c r="AK45" s="27"/>
    </row>
    <row r="46" spans="1:37" s="31" customFormat="1" ht="28.5" customHeight="1">
      <c r="A46" s="4">
        <v>12</v>
      </c>
      <c r="B46" s="35" t="s">
        <v>54</v>
      </c>
      <c r="C46" s="35" t="s">
        <v>73</v>
      </c>
      <c r="D46" s="4" t="s">
        <v>68</v>
      </c>
      <c r="E46" s="4" t="s">
        <v>84</v>
      </c>
      <c r="F46" s="4">
        <v>710</v>
      </c>
      <c r="G46" s="4">
        <v>497</v>
      </c>
      <c r="H46" s="4">
        <v>1950</v>
      </c>
      <c r="I46" s="4">
        <f>1950+100</f>
        <v>2050</v>
      </c>
      <c r="J46" s="4">
        <v>1950</v>
      </c>
      <c r="K46" s="4">
        <f>J46</f>
        <v>1950</v>
      </c>
      <c r="L46" s="4">
        <f>F46+G46+H46+I46+J46+K46</f>
        <v>9107</v>
      </c>
      <c r="M46" s="4" t="s">
        <v>84</v>
      </c>
      <c r="N46" s="3">
        <f>7014.8-133.8</f>
        <v>6881</v>
      </c>
      <c r="O46" s="3">
        <f>4749-1.1</f>
        <v>4747.9</v>
      </c>
      <c r="P46" s="3">
        <f>4747.9-4747.9+22152</f>
        <v>22152</v>
      </c>
      <c r="Q46" s="3">
        <f>25155+1290</f>
        <v>26445</v>
      </c>
      <c r="R46" s="3">
        <v>22152</v>
      </c>
      <c r="S46" s="3">
        <f>R46</f>
        <v>22152</v>
      </c>
      <c r="T46" s="3">
        <f>N46+O46+P46+Q46+R46+S46</f>
        <v>104529.9</v>
      </c>
      <c r="U46" s="32"/>
      <c r="V46" s="32"/>
      <c r="W46" s="32"/>
      <c r="X46" s="32"/>
      <c r="Y46" s="32"/>
      <c r="Z46" s="32"/>
      <c r="AA46" s="32">
        <f>AF46/AF49</f>
        <v>0.12252399180195753</v>
      </c>
      <c r="AB46" s="34" t="s">
        <v>59</v>
      </c>
      <c r="AC46" s="34"/>
      <c r="AD46" s="34"/>
      <c r="AE46" s="34"/>
      <c r="AF46" s="27">
        <v>160395.3</v>
      </c>
      <c r="AG46" s="27">
        <v>167507</v>
      </c>
      <c r="AH46" s="27">
        <v>189440.7</v>
      </c>
      <c r="AI46" s="27">
        <v>202476.3</v>
      </c>
      <c r="AJ46" s="27">
        <v>214760.4</v>
      </c>
      <c r="AK46" s="27">
        <v>231823.4</v>
      </c>
    </row>
    <row r="47" spans="1:36" s="31" customFormat="1" ht="16.5" customHeight="1">
      <c r="A47" s="4"/>
      <c r="B47" s="86" t="s">
        <v>40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28"/>
      <c r="AG47" s="28"/>
      <c r="AH47" s="28"/>
      <c r="AI47" s="28"/>
      <c r="AJ47" s="28"/>
    </row>
    <row r="48" spans="1:36" s="31" customFormat="1" ht="79.5" customHeight="1">
      <c r="A48" s="4">
        <v>13</v>
      </c>
      <c r="B48" s="35" t="s">
        <v>95</v>
      </c>
      <c r="C48" s="35" t="s">
        <v>29</v>
      </c>
      <c r="D48" s="4" t="s">
        <v>25</v>
      </c>
      <c r="E48" s="4">
        <v>4473</v>
      </c>
      <c r="F48" s="4" t="s">
        <v>84</v>
      </c>
      <c r="G48" s="4" t="s">
        <v>84</v>
      </c>
      <c r="H48" s="4" t="s">
        <v>84</v>
      </c>
      <c r="I48" s="4" t="s">
        <v>84</v>
      </c>
      <c r="J48" s="4" t="s">
        <v>84</v>
      </c>
      <c r="K48" s="4" t="s">
        <v>84</v>
      </c>
      <c r="L48" s="4">
        <f>E48</f>
        <v>4473</v>
      </c>
      <c r="M48" s="37">
        <v>120017.8</v>
      </c>
      <c r="N48" s="4" t="s">
        <v>84</v>
      </c>
      <c r="O48" s="4" t="s">
        <v>84</v>
      </c>
      <c r="P48" s="4" t="s">
        <v>84</v>
      </c>
      <c r="Q48" s="4" t="s">
        <v>84</v>
      </c>
      <c r="R48" s="4" t="s">
        <v>84</v>
      </c>
      <c r="S48" s="4" t="s">
        <v>84</v>
      </c>
      <c r="T48" s="3">
        <f>M48</f>
        <v>120017.8</v>
      </c>
      <c r="U48" s="32"/>
      <c r="V48" s="32"/>
      <c r="W48" s="32"/>
      <c r="X48" s="32"/>
      <c r="Y48" s="32"/>
      <c r="Z48" s="32"/>
      <c r="AA48" s="32"/>
      <c r="AB48" s="39"/>
      <c r="AC48" s="39"/>
      <c r="AD48" s="39"/>
      <c r="AE48" s="39"/>
      <c r="AF48" s="40"/>
      <c r="AG48" s="40"/>
      <c r="AH48" s="40"/>
      <c r="AI48" s="40"/>
      <c r="AJ48" s="40"/>
    </row>
    <row r="49" spans="1:37" s="31" customFormat="1" ht="16.5" customHeight="1">
      <c r="A49" s="4"/>
      <c r="B49" s="92" t="s">
        <v>56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35"/>
      <c r="T49" s="35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28">
        <f aca="true" t="shared" si="9" ref="AF49:AK49">AF42+AF44+AF46</f>
        <v>1309093</v>
      </c>
      <c r="AG49" s="28">
        <f t="shared" si="9"/>
        <v>1400372.1</v>
      </c>
      <c r="AH49" s="28">
        <f t="shared" si="9"/>
        <v>1611722.5999999999</v>
      </c>
      <c r="AI49" s="28">
        <f t="shared" si="9"/>
        <v>1740158.2</v>
      </c>
      <c r="AJ49" s="28">
        <f t="shared" si="9"/>
        <v>1826996.9</v>
      </c>
      <c r="AK49" s="28">
        <f t="shared" si="9"/>
        <v>1953693.7999999998</v>
      </c>
    </row>
    <row r="50" spans="1:37" s="31" customFormat="1" ht="30.75" customHeight="1">
      <c r="A50" s="4">
        <v>14</v>
      </c>
      <c r="B50" s="35" t="s">
        <v>22</v>
      </c>
      <c r="C50" s="35" t="s">
        <v>30</v>
      </c>
      <c r="D50" s="4" t="s">
        <v>25</v>
      </c>
      <c r="E50" s="4">
        <v>42</v>
      </c>
      <c r="F50" s="4" t="s">
        <v>84</v>
      </c>
      <c r="G50" s="4" t="s">
        <v>84</v>
      </c>
      <c r="H50" s="4" t="s">
        <v>84</v>
      </c>
      <c r="I50" s="4" t="s">
        <v>84</v>
      </c>
      <c r="J50" s="4" t="s">
        <v>84</v>
      </c>
      <c r="K50" s="4" t="s">
        <v>84</v>
      </c>
      <c r="L50" s="4">
        <f>E50</f>
        <v>42</v>
      </c>
      <c r="M50" s="35">
        <v>304.4</v>
      </c>
      <c r="N50" s="4" t="s">
        <v>84</v>
      </c>
      <c r="O50" s="4" t="s">
        <v>84</v>
      </c>
      <c r="P50" s="4" t="s">
        <v>84</v>
      </c>
      <c r="Q50" s="4" t="s">
        <v>84</v>
      </c>
      <c r="R50" s="4" t="s">
        <v>84</v>
      </c>
      <c r="S50" s="4" t="s">
        <v>84</v>
      </c>
      <c r="T50" s="35">
        <f>M50</f>
        <v>304.4</v>
      </c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28"/>
      <c r="AG50" s="28"/>
      <c r="AH50" s="28">
        <f>1584880.4+26842.2</f>
        <v>1611722.5999999999</v>
      </c>
      <c r="AI50" s="28">
        <v>1732357.7</v>
      </c>
      <c r="AJ50" s="28">
        <v>1826996.9</v>
      </c>
      <c r="AK50" s="28">
        <v>1953693.8</v>
      </c>
    </row>
    <row r="51" spans="1:37" s="31" customFormat="1" ht="178.5">
      <c r="A51" s="4">
        <v>15</v>
      </c>
      <c r="B51" s="35" t="s">
        <v>55</v>
      </c>
      <c r="C51" s="35" t="s">
        <v>30</v>
      </c>
      <c r="D51" s="4" t="s">
        <v>25</v>
      </c>
      <c r="E51" s="4" t="s">
        <v>84</v>
      </c>
      <c r="F51" s="4">
        <v>42</v>
      </c>
      <c r="G51" s="4">
        <v>41</v>
      </c>
      <c r="H51" s="4" t="s">
        <v>84</v>
      </c>
      <c r="I51" s="4" t="str">
        <f>H51</f>
        <v>-</v>
      </c>
      <c r="J51" s="4" t="s">
        <v>84</v>
      </c>
      <c r="K51" s="4" t="s">
        <v>84</v>
      </c>
      <c r="L51" s="4">
        <f>F51+G51</f>
        <v>83</v>
      </c>
      <c r="M51" s="4" t="s">
        <v>84</v>
      </c>
      <c r="N51" s="3">
        <f>289.2-5</f>
        <v>284.2</v>
      </c>
      <c r="O51" s="3">
        <v>235.1</v>
      </c>
      <c r="P51" s="4" t="s">
        <v>84</v>
      </c>
      <c r="Q51" s="4" t="s">
        <v>84</v>
      </c>
      <c r="R51" s="4" t="s">
        <v>84</v>
      </c>
      <c r="S51" s="4" t="s">
        <v>84</v>
      </c>
      <c r="T51" s="3">
        <f>N51+O51</f>
        <v>519.3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29">
        <v>2016</v>
      </c>
      <c r="AG51" s="29">
        <v>2017</v>
      </c>
      <c r="AH51" s="29">
        <v>2018</v>
      </c>
      <c r="AI51" s="29">
        <v>2019</v>
      </c>
      <c r="AJ51" s="29">
        <v>2020</v>
      </c>
      <c r="AK51" s="29">
        <v>2021</v>
      </c>
    </row>
    <row r="52" spans="1:37" ht="167.25" customHeight="1">
      <c r="A52" s="4">
        <v>16</v>
      </c>
      <c r="B52" s="35" t="s">
        <v>55</v>
      </c>
      <c r="C52" s="35" t="s">
        <v>30</v>
      </c>
      <c r="D52" s="4" t="s">
        <v>101</v>
      </c>
      <c r="E52" s="4" t="s">
        <v>84</v>
      </c>
      <c r="F52" s="4" t="s">
        <v>84</v>
      </c>
      <c r="G52" s="4" t="s">
        <v>84</v>
      </c>
      <c r="H52" s="4">
        <v>41</v>
      </c>
      <c r="I52" s="4">
        <f>H52</f>
        <v>41</v>
      </c>
      <c r="J52" s="4">
        <v>41</v>
      </c>
      <c r="K52" s="4">
        <f>J52</f>
        <v>41</v>
      </c>
      <c r="L52" s="4">
        <f>H52+I52+J52+K52</f>
        <v>164</v>
      </c>
      <c r="M52" s="4" t="s">
        <v>84</v>
      </c>
      <c r="N52" s="4" t="s">
        <v>84</v>
      </c>
      <c r="O52" s="4" t="s">
        <v>84</v>
      </c>
      <c r="P52" s="3">
        <f>386.4-5</f>
        <v>381.4</v>
      </c>
      <c r="Q52" s="3">
        <f>235.1+237+20+200</f>
        <v>692.1</v>
      </c>
      <c r="R52" s="3">
        <v>235.1</v>
      </c>
      <c r="S52" s="3">
        <f>R52</f>
        <v>235.1</v>
      </c>
      <c r="T52" s="3">
        <f>P52+Q52+R52+S52</f>
        <v>1543.6999999999998</v>
      </c>
      <c r="AF52" s="25">
        <v>95</v>
      </c>
      <c r="AG52" s="25">
        <v>165</v>
      </c>
      <c r="AH52" s="25">
        <v>300</v>
      </c>
      <c r="AI52" s="25">
        <v>434</v>
      </c>
      <c r="AJ52" s="25">
        <v>472</v>
      </c>
      <c r="AK52" s="5">
        <v>413</v>
      </c>
    </row>
    <row r="53" spans="13:36" ht="15" hidden="1">
      <c r="M53" s="19" t="e">
        <f>M30+M36+M46+#REF!+#REF!+M42</f>
        <v>#VALUE!</v>
      </c>
      <c r="N53" s="14" t="e">
        <f>N30+N36+N46+#REF!+#REF!+N42</f>
        <v>#REF!</v>
      </c>
      <c r="O53" s="14" t="e">
        <f>O30+O36+O46+#REF!+#REF!+O42</f>
        <v>#REF!</v>
      </c>
      <c r="P53" s="14" t="e">
        <f>P30+P36+P46+#REF!+#REF!+P42</f>
        <v>#REF!</v>
      </c>
      <c r="Q53" s="14" t="e">
        <f>Q30+Q36+Q46+#REF!+#REF!+Q42</f>
        <v>#REF!</v>
      </c>
      <c r="R53" s="14" t="e">
        <f>R30+R36+R46+#REF!+#REF!+R42</f>
        <v>#REF!</v>
      </c>
      <c r="S53" s="14"/>
      <c r="T53" s="14"/>
      <c r="AH53" s="17"/>
      <c r="AI53" s="17"/>
      <c r="AJ53" s="17"/>
    </row>
    <row r="54" spans="13:36" ht="15" hidden="1">
      <c r="M54" s="19" t="e">
        <f>M53-'[1]Лист1'!$E$101</f>
        <v>#VALUE!</v>
      </c>
      <c r="N54" s="14" t="e">
        <f>N53-'[1]Лист1'!$F$101</f>
        <v>#REF!</v>
      </c>
      <c r="O54" s="14" t="e">
        <f>O53-'[1]Лист1'!$G$101</f>
        <v>#REF!</v>
      </c>
      <c r="P54" s="14" t="e">
        <f>P53-'[1]Лист1'!$H$101</f>
        <v>#REF!</v>
      </c>
      <c r="Q54" s="14" t="e">
        <f>Q53-'[1]Лист1'!$I$101</f>
        <v>#REF!</v>
      </c>
      <c r="R54" s="14" t="e">
        <f>R53-'[1]Лист1'!$J$101</f>
        <v>#REF!</v>
      </c>
      <c r="S54" s="14"/>
      <c r="T54" s="14"/>
      <c r="AH54" s="17"/>
      <c r="AI54" s="17"/>
      <c r="AJ54" s="17"/>
    </row>
    <row r="55" spans="13:36" ht="15" hidden="1">
      <c r="M55" s="19"/>
      <c r="N55" s="14"/>
      <c r="O55" s="14"/>
      <c r="P55" s="14"/>
      <c r="Q55" s="14"/>
      <c r="R55" s="14"/>
      <c r="S55" s="14"/>
      <c r="T55" s="14"/>
      <c r="AH55" s="17"/>
      <c r="AI55" s="17"/>
      <c r="AJ55" s="17"/>
    </row>
    <row r="56" spans="13:36" ht="15" hidden="1">
      <c r="M56" s="20" t="e">
        <f aca="true" t="shared" si="10" ref="M56:R56">M36/E36</f>
        <v>#VALUE!</v>
      </c>
      <c r="N56" s="16">
        <f t="shared" si="10"/>
        <v>29.10970079819793</v>
      </c>
      <c r="O56" s="16">
        <f t="shared" si="10"/>
        <v>28.874511905316616</v>
      </c>
      <c r="P56" s="16">
        <f t="shared" si="10"/>
        <v>32.34447885806625</v>
      </c>
      <c r="Q56" s="16">
        <f t="shared" si="10"/>
        <v>32.46047512405041</v>
      </c>
      <c r="R56" s="16">
        <f t="shared" si="10"/>
        <v>32.75965311843027</v>
      </c>
      <c r="S56" s="30"/>
      <c r="T56" s="30"/>
      <c r="U56" s="25" t="s">
        <v>44</v>
      </c>
      <c r="AH56" s="17"/>
      <c r="AI56" s="17"/>
      <c r="AJ56" s="17"/>
    </row>
    <row r="57" spans="13:36" ht="15">
      <c r="M57" s="19"/>
      <c r="N57" s="14"/>
      <c r="O57" s="14"/>
      <c r="P57" s="14"/>
      <c r="Q57" s="14"/>
      <c r="R57" s="14"/>
      <c r="S57" s="14"/>
      <c r="T57" s="14"/>
      <c r="AH57" s="17"/>
      <c r="AI57" s="17"/>
      <c r="AJ57" s="17"/>
    </row>
    <row r="58" spans="13:36" ht="15">
      <c r="M58" s="19"/>
      <c r="N58" s="14"/>
      <c r="O58" s="14"/>
      <c r="P58" s="14"/>
      <c r="Q58" s="14"/>
      <c r="R58" s="14"/>
      <c r="S58" s="14"/>
      <c r="T58" s="14"/>
      <c r="AB58" s="25" t="s">
        <v>74</v>
      </c>
      <c r="AH58" s="17"/>
      <c r="AI58" s="17"/>
      <c r="AJ58" s="17"/>
    </row>
    <row r="59" spans="13:37" ht="15">
      <c r="M59" s="19"/>
      <c r="AF59" s="25">
        <f>ROUND(AF52*AF31,1)</f>
        <v>610.8</v>
      </c>
      <c r="AG59" s="25">
        <f>ROUND(AG52*AG31,1)</f>
        <v>1019.5</v>
      </c>
      <c r="AH59" s="25">
        <f>ROUND(AH52*AH31,1)</f>
        <v>2149.5</v>
      </c>
      <c r="AI59" s="25">
        <f>ROUND(AI52*AI31,1)</f>
        <v>2792.7</v>
      </c>
      <c r="AJ59" s="25">
        <f>ROUND(AJ52*AJ31,1)</f>
        <v>3040.8</v>
      </c>
      <c r="AK59" s="25">
        <f>ROUND(AK52*AK31,0)</f>
        <v>2612</v>
      </c>
    </row>
    <row r="60" spans="13:36" ht="15" hidden="1">
      <c r="M60" s="19"/>
      <c r="N60" s="19"/>
      <c r="O60" s="51"/>
      <c r="P60" s="45">
        <f>P30-'[2]2016'!$M$34-'[2]2016'!$M$35</f>
        <v>2.9467628337442875E-10</v>
      </c>
      <c r="Q60" s="45">
        <f>Q30-'[3]2016'!$M$32-'[3]2016'!$M$33</f>
        <v>-9.458744898438454E-11</v>
      </c>
      <c r="R60" s="45"/>
      <c r="S60" s="45"/>
      <c r="T60" s="14"/>
      <c r="U60" s="25" t="s">
        <v>76</v>
      </c>
      <c r="AB60" s="25" t="s">
        <v>75</v>
      </c>
      <c r="AG60" s="17"/>
      <c r="AH60" s="17"/>
      <c r="AI60" s="17"/>
      <c r="AJ60" s="17"/>
    </row>
    <row r="61" spans="13:38" ht="15" hidden="1">
      <c r="M61" s="19"/>
      <c r="N61" s="46"/>
      <c r="O61" s="28"/>
      <c r="P61" s="61">
        <f>P32-'[2]2016'!$M$21-'[2]2016'!$M$22-'[2]2016'!$M$25-'[2]2016'!$M$26-'[2]2016'!$M$29-'[2]2016'!$M$30</f>
        <v>-4861.966620000035</v>
      </c>
      <c r="Q61" s="45">
        <f>Q32-'[3]2016'!$M$21-'[3]2016'!$M$22-'[3]2016'!$M$25-'[3]2016'!$M$26-'[3]2016'!$M$29-'[3]2016'!$M$30</f>
        <v>-5370.99999999992</v>
      </c>
      <c r="R61" s="45"/>
      <c r="S61" s="45"/>
      <c r="T61" s="14"/>
      <c r="U61" s="25" t="s">
        <v>77</v>
      </c>
      <c r="AF61" s="26">
        <v>4781.4</v>
      </c>
      <c r="AG61" s="25">
        <v>8529.3</v>
      </c>
      <c r="AH61" s="62">
        <v>17145.9</v>
      </c>
      <c r="AI61" s="25">
        <v>26620.9</v>
      </c>
      <c r="AJ61" s="25">
        <v>28951.7</v>
      </c>
      <c r="AK61" s="25">
        <v>26865.5</v>
      </c>
      <c r="AL61" s="17"/>
    </row>
    <row r="62" spans="6:21" ht="15" hidden="1">
      <c r="F62" s="5">
        <f aca="true" t="shared" si="11" ref="F62:K62">F36+F37+F38+F39</f>
        <v>46028</v>
      </c>
      <c r="G62" s="5">
        <f t="shared" si="11"/>
        <v>47897</v>
      </c>
      <c r="H62" s="5">
        <f t="shared" si="11"/>
        <v>49616</v>
      </c>
      <c r="I62" s="5">
        <f t="shared" si="11"/>
        <v>51349</v>
      </c>
      <c r="J62" s="5">
        <f t="shared" si="11"/>
        <v>52890</v>
      </c>
      <c r="K62" s="5">
        <f t="shared" si="11"/>
        <v>54252</v>
      </c>
      <c r="M62" s="5"/>
      <c r="N62" s="47"/>
      <c r="O62" s="52"/>
      <c r="P62" s="61">
        <f>P36+P37+P38+P39-'[2]2016'!$M$36-'[2]2016'!$M$37-'[2]2016'!$M$39-'[2]2016'!$M$40-'[2]2016'!$M$41-'[2]2016'!$M$42-'[2]2016'!$M$43-'[2]2016'!$M$44</f>
        <v>-285.4732400000871</v>
      </c>
      <c r="Q62" s="45">
        <f>Q36+Q37+Q38+Q39-'[3]2016'!$M$34-'[3]2016'!$M$35-'[3]2016'!$M$37-'[3]2016'!$M$38-'[3]2016'!$M$39-'[3]2016'!$M$40-'[3]2016'!$M$41-'[3]2016'!$M$42</f>
        <v>-9.499999999550027</v>
      </c>
      <c r="R62" s="45"/>
      <c r="S62" s="45"/>
      <c r="T62" s="14"/>
      <c r="U62" s="25" t="s">
        <v>79</v>
      </c>
    </row>
    <row r="63" spans="14:33" ht="15" hidden="1">
      <c r="N63" s="19"/>
      <c r="O63" s="58"/>
      <c r="P63" s="45">
        <f>P42-'[2]2016'!$M$45-'[2]2016'!$M$47-'[2]2016'!$M$48-'[2]2016'!$M$50-'[2]2016'!$M$51</f>
        <v>0</v>
      </c>
      <c r="Q63" s="45">
        <f>Q42-'[3]2016'!$M$43-'[3]2016'!$M$44-'[3]2016'!$M$45-'[3]2016'!$M$46-'[3]2016'!$M$47-'[3]2016'!$M$48-'[3]2016'!$M$50-'[3]2016'!$M$51-'[3]2016'!$M$52</f>
        <v>-7.639755494892597E-11</v>
      </c>
      <c r="R63" s="45"/>
      <c r="S63" s="45"/>
      <c r="U63" s="25" t="s">
        <v>80</v>
      </c>
      <c r="AG63" s="42"/>
    </row>
    <row r="64" spans="14:21" ht="15" hidden="1">
      <c r="N64" s="19"/>
      <c r="O64" s="51"/>
      <c r="P64" s="6"/>
      <c r="Q64" s="45">
        <f>Q46-'[3]2016'!$M$56</f>
        <v>0</v>
      </c>
      <c r="R64" s="6"/>
      <c r="S64" s="6"/>
      <c r="U64" s="25" t="s">
        <v>81</v>
      </c>
    </row>
    <row r="65" spans="14:32" ht="15" hidden="1">
      <c r="N65" s="48"/>
      <c r="O65" s="28"/>
      <c r="P65" s="6"/>
      <c r="Q65" s="45">
        <f>Q52-'[3]2016'!$M$95-'[3]2016'!$M$94</f>
        <v>-2.3092638912203256E-14</v>
      </c>
      <c r="R65" s="6"/>
      <c r="S65" s="6"/>
      <c r="U65" s="25" t="s">
        <v>82</v>
      </c>
      <c r="AF65" s="26"/>
    </row>
    <row r="66" spans="15:32" ht="15" hidden="1">
      <c r="O66" s="6"/>
      <c r="AF66" s="26"/>
    </row>
    <row r="67" spans="14:32" ht="15" hidden="1">
      <c r="N67" s="56">
        <v>2016</v>
      </c>
      <c r="O67" s="56">
        <v>2017</v>
      </c>
      <c r="P67" s="56">
        <v>2018</v>
      </c>
      <c r="Q67" s="56">
        <v>2019</v>
      </c>
      <c r="R67" s="56">
        <v>2020</v>
      </c>
      <c r="S67" s="56">
        <v>2021</v>
      </c>
      <c r="AF67" s="26"/>
    </row>
    <row r="68" spans="14:32" ht="15" hidden="1">
      <c r="N68" s="45">
        <f aca="true" t="shared" si="12" ref="N68:S68">N36+N37+N38+N39</f>
        <v>1635808.69</v>
      </c>
      <c r="O68" s="45">
        <f t="shared" si="12"/>
        <v>1696305.54805</v>
      </c>
      <c r="P68" s="45">
        <f t="shared" si="12"/>
        <v>1967227.2746899999</v>
      </c>
      <c r="Q68" s="45">
        <f t="shared" si="12"/>
        <v>2070581.0090000005</v>
      </c>
      <c r="R68" s="45">
        <f t="shared" si="12"/>
        <v>2167728.593</v>
      </c>
      <c r="S68" s="45">
        <f t="shared" si="12"/>
        <v>2296863.593</v>
      </c>
      <c r="T68" s="14"/>
      <c r="AF68" s="26"/>
    </row>
    <row r="69" spans="10:32" ht="15" hidden="1">
      <c r="J69" s="23" t="s">
        <v>83</v>
      </c>
      <c r="K69" s="23"/>
      <c r="L69" s="23"/>
      <c r="N69" s="32">
        <f aca="true" t="shared" si="13" ref="N69:S69">ROUND(N68/F62,1)</f>
        <v>35.5</v>
      </c>
      <c r="O69" s="57">
        <f t="shared" si="13"/>
        <v>35.4</v>
      </c>
      <c r="P69" s="57">
        <f t="shared" si="13"/>
        <v>39.6</v>
      </c>
      <c r="Q69" s="57">
        <f t="shared" si="13"/>
        <v>40.3</v>
      </c>
      <c r="R69" s="34">
        <f t="shared" si="13"/>
        <v>41</v>
      </c>
      <c r="S69" s="34">
        <f t="shared" si="13"/>
        <v>42.3</v>
      </c>
      <c r="T69" s="25" t="s">
        <v>99</v>
      </c>
      <c r="AF69" s="26"/>
    </row>
    <row r="70" spans="14:20" ht="15" hidden="1">
      <c r="N70" s="5">
        <v>35.5</v>
      </c>
      <c r="O70" s="5">
        <v>35.4</v>
      </c>
      <c r="P70" s="5">
        <v>39.6</v>
      </c>
      <c r="Q70" s="5">
        <v>40.3</v>
      </c>
      <c r="R70" s="5">
        <v>41</v>
      </c>
      <c r="S70" s="5">
        <v>42.3</v>
      </c>
      <c r="T70" s="5" t="s">
        <v>98</v>
      </c>
    </row>
    <row r="71" spans="14:19" ht="15" hidden="1">
      <c r="N71" s="25">
        <f aca="true" t="shared" si="14" ref="N71:S71">N69-N70</f>
        <v>0</v>
      </c>
      <c r="O71" s="25">
        <f t="shared" si="14"/>
        <v>0</v>
      </c>
      <c r="P71" s="25">
        <f t="shared" si="14"/>
        <v>0</v>
      </c>
      <c r="Q71" s="25">
        <f t="shared" si="14"/>
        <v>0</v>
      </c>
      <c r="R71" s="17">
        <f t="shared" si="14"/>
        <v>0</v>
      </c>
      <c r="S71" s="17">
        <f t="shared" si="14"/>
        <v>0</v>
      </c>
    </row>
    <row r="72" ht="15" hidden="1"/>
    <row r="73" ht="15" hidden="1"/>
    <row r="74" ht="15" hidden="1">
      <c r="M74" s="19"/>
    </row>
    <row r="75" ht="15"/>
    <row r="76" ht="15">
      <c r="O76" s="53"/>
    </row>
    <row r="77" ht="15"/>
    <row r="78" ht="31.5" customHeight="1"/>
    <row r="80" ht="15"/>
    <row r="81" ht="15"/>
    <row r="82" ht="15"/>
    <row r="83" ht="15"/>
    <row r="85" ht="15"/>
  </sheetData>
  <sheetProtection/>
  <mergeCells count="41">
    <mergeCell ref="A16:T16"/>
    <mergeCell ref="A17:T17"/>
    <mergeCell ref="A15:T15"/>
    <mergeCell ref="P1:R1"/>
    <mergeCell ref="P3:R3"/>
    <mergeCell ref="M6:R6"/>
    <mergeCell ref="A13:T13"/>
    <mergeCell ref="A14:T14"/>
    <mergeCell ref="B49:R49"/>
    <mergeCell ref="A33:A34"/>
    <mergeCell ref="R42:R43"/>
    <mergeCell ref="A42:A43"/>
    <mergeCell ref="B42:B43"/>
    <mergeCell ref="N42:N43"/>
    <mergeCell ref="P42:P43"/>
    <mergeCell ref="Q42:Q43"/>
    <mergeCell ref="B47:T47"/>
    <mergeCell ref="S42:S43"/>
    <mergeCell ref="B24:T24"/>
    <mergeCell ref="D20:T20"/>
    <mergeCell ref="D21:T21"/>
    <mergeCell ref="M22:T22"/>
    <mergeCell ref="B20:B23"/>
    <mergeCell ref="C20:C23"/>
    <mergeCell ref="E22:L22"/>
    <mergeCell ref="B44:T44"/>
    <mergeCell ref="O42:O43"/>
    <mergeCell ref="B34:T34"/>
    <mergeCell ref="B40:T40"/>
    <mergeCell ref="M42:M43"/>
    <mergeCell ref="T42:T43"/>
    <mergeCell ref="A24:A27"/>
    <mergeCell ref="B25:T25"/>
    <mergeCell ref="B29:T29"/>
    <mergeCell ref="B33:T33"/>
    <mergeCell ref="B31:T31"/>
    <mergeCell ref="A19:R19"/>
    <mergeCell ref="A20:A23"/>
    <mergeCell ref="D22:D23"/>
    <mergeCell ref="B26:T26"/>
    <mergeCell ref="B27:T27"/>
  </mergeCells>
  <printOptions/>
  <pageMargins left="0" right="0" top="0.24" bottom="0.19" header="0.16" footer="0.15"/>
  <pageSetup horizontalDpi="600" verticalDpi="600" orientation="landscape" paperSize="9" scale="66" r:id="rId3"/>
  <rowBreaks count="2" manualBreakCount="2">
    <brk id="32" max="19" man="1"/>
    <brk id="48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2019-08-05T09:54:22Z</cp:lastPrinted>
  <dcterms:created xsi:type="dcterms:W3CDTF">2014-06-08T13:23:30Z</dcterms:created>
  <dcterms:modified xsi:type="dcterms:W3CDTF">2019-09-05T08:51:34Z</dcterms:modified>
  <cp:category/>
  <cp:version/>
  <cp:contentType/>
  <cp:contentStatus/>
</cp:coreProperties>
</file>