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оект" sheetId="1" r:id="rId1"/>
  </sheets>
  <definedNames>
    <definedName name="_xlnm__FilterDatabase" localSheetId="0">'Проект'!$A$1:$L$158</definedName>
    <definedName name="Print_Titles_0" localSheetId="0">'Проект'!$5:$7</definedName>
    <definedName name="_xlnm.Print_Titles" localSheetId="0">'Проект'!$5:$7</definedName>
    <definedName name="_xlnm.Print_Area" localSheetId="0">'Проект'!$B$1:$L$168</definedName>
  </definedNames>
  <calcPr fullCalcOnLoad="1"/>
</workbook>
</file>

<file path=xl/sharedStrings.xml><?xml version="1.0" encoding="utf-8"?>
<sst xmlns="http://schemas.openxmlformats.org/spreadsheetml/2006/main" count="279" uniqueCount="128">
  <si>
    <t xml:space="preserve">Приложение №2 
к муниципальной программе 
«Развитие территорий, социальной 
и инженерной инфраструктуры 
в городе Пензе на 2020-2026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</si>
  <si>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2020-2026 годы» за счет всех источников финансирования</t>
  </si>
  <si>
    <t>Ответственный исполнитель муниципальной программы</t>
  </si>
  <si>
    <t>Управление градостроительства и архитектуры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</si>
  <si>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</si>
  <si>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</si>
  <si>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</si>
  <si>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</si>
  <si>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</si>
  <si>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</si>
  <si>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Муниципальная программа</t>
  </si>
  <si>
    <t>Развитие территорий, социальной и инженерной инфраструктуры города Пензы на 2020-2026 годы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</si>
  <si>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</si>
  <si>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</si>
  <si>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</si>
  <si>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</si>
  <si>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</si>
  <si>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</si>
  <si>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бюджет города Пензы</t>
  </si>
  <si>
    <t>Автомобильная дорога по ул.Чаадаева на участке от ул.Чапаева до транспортной развязки к ФАД М-5 "Урал", г.Пенза</t>
  </si>
  <si>
    <t>Автомобильная дорога по ул.Байдукова, г.Пенза</t>
  </si>
  <si>
    <t>Автомобильная дорога по ул.Попова на участке от ул.Ленинградская до ул.Окружная, г.Пенза</t>
  </si>
  <si>
    <t>Автомобильная дорога по ул. Архангельского поселка "ЗИФ"</t>
  </si>
  <si>
    <t xml:space="preserve">Участок дороги по ул. Глазунова от ул. Рахманинова до проспекта Строителей, г. Пенза </t>
  </si>
  <si>
    <t>Автомобильная дорога по ул. Беляева, г. Пенза</t>
  </si>
  <si>
    <t>Автомобильная дорога по ул. Каштановая, г. Пенза</t>
  </si>
  <si>
    <t>Автомобильная дорога по ул. Собинова, по 6-му проезду Пестеля, г. Пенза</t>
  </si>
  <si>
    <t>Автодорога по ул. Нахимова на участке от ул. Шмидта до ул. Леонова</t>
  </si>
  <si>
    <t xml:space="preserve">Автомобильная дорога, соединяющая пр. Строителей и пр. Победы в районе торгового центра Коллаж, г. Пенза </t>
  </si>
  <si>
    <t>Автомобильная дорога по ул. Аустрина, г. Пенза</t>
  </si>
  <si>
    <t>Мост через реку Мойка по ул.Батайская, г.Пенза</t>
  </si>
  <si>
    <t>Мост через р. Пенза в створе ул. Токарная, г. Пенза</t>
  </si>
  <si>
    <t>Строительство домов для переселения граждан из аварийного жилья</t>
  </si>
  <si>
    <t>Водоснабжение пос. Победа, г. Пенза</t>
  </si>
  <si>
    <t>Сети водоотведения пос. Лесной в г. Пензе</t>
  </si>
  <si>
    <t>Строительство сетей водоснабжения пос. "ЗИФ", г.Пенза</t>
  </si>
  <si>
    <t>Реконструкция сетей ливневой канализации в районе набережной р.Суры на участке от ул.Бакунина до ул. Славы, г. Пензы</t>
  </si>
  <si>
    <t xml:space="preserve">Капитальный ремонт набережной реки Суры 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</si>
  <si>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</si>
  <si>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Фонтан, расположенный в районе дома №39а по ул. Московская, с благоустройством прилегающей территории, г. Пенза</t>
  </si>
  <si>
    <t>Благоустройство общественной территории, ограниченной улицами К.Маркса, Белинского, Лермонтова, Советская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</si>
  <si>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</si>
  <si>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</si>
  <si>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на пересечении улиц Плеханова-Пушкина, г.Пенза</t>
  </si>
  <si>
    <t>Сквер в границах улиц Урицкого, Кирова, Славы, г. Пенза</t>
  </si>
  <si>
    <t>Сквер в границах улиц Московская, Володарского, Пушкина, г. Пенза</t>
  </si>
  <si>
    <t>Сквер в раоне дизельного завода по ул.Калинина,128 А, г.Пенза</t>
  </si>
  <si>
    <t>Парк "Этно-край" в районе ул. Антонова, г. Пенза</t>
  </si>
  <si>
    <t>Корпус №2 детского сада по ул. Турищева, 1, г. Пенза</t>
  </si>
  <si>
    <t xml:space="preserve">    </t>
  </si>
  <si>
    <t>Корпус №2 детского сада по ул. Красная,26 А, г. Пенза</t>
  </si>
  <si>
    <t>Детский сад по ул.Антонова,52, г.Пенза</t>
  </si>
  <si>
    <t>Школа в мкр. №3 третьей очереди строительства жилого района "Арбеково", г. Пенза</t>
  </si>
  <si>
    <t>Здание по ул. Богданова 19, г. Пенза</t>
  </si>
  <si>
    <t>Здание ТЮЗ по ул. Тарханова 11а, г. Пенза</t>
  </si>
  <si>
    <t>Здание по ул. Кирова, 39, г. Пенза</t>
  </si>
  <si>
    <t>Строительство учреждения культуры и искусства (Театр юного зрителя), г. Пенза</t>
  </si>
  <si>
    <t>Реконструкция лагеря "Орленок"</t>
  </si>
  <si>
    <t>Объект культурного наследия регионального значения «Дом жилой (деревянный), XIX в.», г.Пенза</t>
  </si>
  <si>
    <t>Нежилое здание (Дом культуры), ул. Леонова, 1А, г. Пенза</t>
  </si>
  <si>
    <t>Здание детской молочной кухни по ул. Измайлова,73, г.Пенза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</si>
  <si>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</si>
  <si>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Спортивный комплекс "Пенза", г. Пенза, ул. Гагарина, 1а</t>
  </si>
  <si>
    <t>Кладбище площадью 40га на участке, расположенном севернее Восточного кладбища (г. Пенза, ул. Осенняя)</t>
  </si>
  <si>
    <t>Крытый каток с искусственным льдом по ул.65-летия Победы, 8 мкр.Арбеково, г.Пенза</t>
  </si>
  <si>
    <t>Автомобильная дорога от границы города Пензы (в районе ул. Романовка) до ул. Окружная / Воронова, г. Пенза</t>
  </si>
  <si>
    <t>Реконструкция водопровода в районе набережной р. Суры, на участке от ул. Славы до ул. Набережная р. Пензы, г. Пенза</t>
  </si>
  <si>
    <t>Строительство лыжного стадиона "Снежинка", г.Пенза</t>
  </si>
  <si>
    <t>Ул. Московская в границах ул. Кураева и ул. Карла Маркса, г. Пенза</t>
  </si>
  <si>
    <t>Лестница от ул. Кирова, 5 до ул. Спасо-Преображенская, 6А, г. Пенза</t>
  </si>
  <si>
    <t>Строительство транспортной развязки на пересечении автомобильной дороги М-5 «Урал» и проспекта Строителей в г. Пенза</t>
  </si>
  <si>
    <t>Строительство корпуса № 2 детского сада по ул. Макаренко, д. 20, в г.Пенза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</si>
  <si>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</si>
  <si>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</si>
  <si>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</si>
  <si>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</si>
  <si>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Школа в районе ул. Измайлова, 76, г. Пенза</t>
  </si>
  <si>
    <t>Жилой дом по адресу: г. Пенза, ул. Новоселов, д. 111</t>
  </si>
  <si>
    <t>Жилой дом по адресу: г. Пенза, ул. Новоселов, д. 112</t>
  </si>
  <si>
    <t>Жилой дом по адресу: г. Пенза, ул. Новоселов, д. 114</t>
  </si>
  <si>
    <t>Автомобильная дорога по ул. Бакунина на участке от ул. Кирова до ул. Урицкого, г. Пензы</t>
  </si>
  <si>
    <t>Жилой дом по адресу: г. Пенза, ул. Новоселов, д. 115</t>
  </si>
  <si>
    <t>Автомобильная дорога по ул. Рябова, г. Пенза</t>
  </si>
  <si>
    <t>Подпрограмма 2</t>
  </si>
  <si>
    <t>Стимулирование развития жилищного строительства в городе Пензе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</si>
  <si>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</si>
  <si>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автодороги в микрорайоне, распложенном между пос. Нефтяник и пос. Заря, г. Пенза</t>
  </si>
  <si>
    <t>Реконструкция дороги по ул. Новоселов, г.Пенза</t>
  </si>
  <si>
    <t>Внутриквартальная дорога в мкр. №6 "Заря-1" севернее ул.Магистральная, г.Пенза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</si>
  <si>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</si>
  <si>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</si>
  <si>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Строительство автодороги по ул. Медовая, г. Пенза</t>
  </si>
  <si>
    <t>Строительство автодороги по ул. Игристая, г. Пенза</t>
  </si>
  <si>
    <t>Дорога для участков, выделенных под строительство индивидуальных жилых домов для семей, имеющих 3-х и более детей расположенных севернее микрорайона №1 "Заря-2",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</si>
  <si>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</si>
  <si>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ливневой канализации в мкр.Шуист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</si>
  <si>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</si>
  <si>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</si>
  <si>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</si>
  <si>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Строительство магистральной сети хозяйственно-бытовой канализации в жилом районе Заря, г. 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</si>
  <si>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</si>
  <si>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Строительство сетей водоснабжения в мкр. №6 "Заря-1" севернее ул. Магистральная, г. Пенза</t>
  </si>
  <si>
    <t>Сети водоотведения микрорайона,расположенного между пос.Нефтяник и пос.Заря, г.Пенза</t>
  </si>
  <si>
    <t>Сети водоотведения от пос. Заря (район ул. Молодежная) до КНС1, расположенной в районе малоэтажной застройки (ул. Барышникова), г. Пенза</t>
  </si>
  <si>
    <t>Строительство объектов инфраструктуры для обеспечения развития районов массовой жилищной застройки и комплексного освоения территорий в населенных пунктах Пензенской области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</si>
  <si>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</si>
  <si>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</si>
  <si>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Сети ливневой канализации в районе ул. Антонова, в г. Пенза</t>
  </si>
  <si>
    <t>Магистральные внеплощадочные сети водоснабжения в районе микрорайона № 8 жилого района «Арбеково», г. Пенза</t>
  </si>
  <si>
    <t>Автодорога, расположенная севернее микрорайона №7 III очереди строительства жилого района Арбеково г. Пензы. 2 этап строительства</t>
  </si>
  <si>
    <t>Автодорога, расположенная севернее микрорайона №6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</si>
  <si>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</t>
  </si>
  <si>
    <t>Детский сад на 150 мест в микрорайоне №2 жилого района Кривозерье — Веселовка г. Пензы</t>
  </si>
  <si>
    <t>Сети водоснабжения микрорайона №7 III очереди строительства жилого района Арбеково г. Пензы. II-III этап строительства</t>
  </si>
  <si>
    <t>0</t>
  </si>
  <si>
    <t>Строительство школы в 6 мкр. "Арбеково", г. Пенза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</si>
  <si>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</si>
  <si>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</si>
  <si>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</si>
  <si>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</si>
  <si>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Руководство и управление в сфере установленных функций</t>
  </si>
  <si>
    <t>Мероприятие по контролю за размещением наружной рекламы на территории города Пензы</t>
  </si>
  <si>
    <t>Расходы на проведение общегородских конкурсов</t>
  </si>
  <si>
    <t>Расходы на подготовку документации по внесению изменений в генеральный план и правила землепользования и застройки г.Пензы</t>
  </si>
  <si>
    <t>Расходы по установлению публичных сервитутов</t>
  </si>
  <si>
    <t xml:space="preserve"> Расходы по проверке документации, полученной в результате градостроительной деятельности, осуществляемой в виде градостроительного зонирования</t>
  </si>
  <si>
    <t xml:space="preserve"> Расходы на подготовку документов, необходимых для внесения изменений в ЕГРН сведений о территориальных зонах в электронном виде</t>
  </si>
  <si>
    <t xml:space="preserve">Приложение № 1 к Постановлению администрации города Пензы от 30.11.2020 № 1692/1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</si>
</sst>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#,##0.00000"/>
    <numFmt numFmtId="171" formatCode="_-* #,##0.00_р_._-;\-* #,##0.00_р_._-;_-* \-??_р_.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Border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17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170" fontId="10" fillId="33" borderId="10" xfId="33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70" fontId="8" fillId="33" borderId="10" xfId="33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170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70" fontId="8" fillId="34" borderId="10" xfId="33" applyNumberFormat="1" applyFont="1" applyFill="1" applyBorder="1" applyAlignment="1" applyProtection="1">
      <alignment horizontal="center" vertical="center" wrapText="1"/>
      <protection/>
    </xf>
    <xf numFmtId="170" fontId="8" fillId="35" borderId="10" xfId="33" applyNumberFormat="1" applyFont="1" applyFill="1" applyBorder="1" applyAlignment="1" applyProtection="1">
      <alignment horizontal="center" vertical="center" wrapText="1"/>
      <protection/>
    </xf>
    <xf numFmtId="170" fontId="8" fillId="36" borderId="10" xfId="33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justify" vertical="center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170" fontId="10" fillId="33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8" fillId="0" borderId="10" xfId="33" applyNumberFormat="1" applyFont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170" fontId="8" fillId="33" borderId="10" xfId="0" applyNumberFormat="1" applyFont="1" applyFill="1" applyBorder="1" applyAlignment="1">
      <alignment horizontal="center" vertical="center" wrapText="1"/>
    </xf>
    <xf numFmtId="170" fontId="8" fillId="35" borderId="10" xfId="0" applyNumberFormat="1" applyFont="1" applyFill="1" applyBorder="1" applyAlignment="1">
      <alignment horizontal="center" vertical="center" wrapText="1"/>
    </xf>
    <xf numFmtId="170" fontId="8" fillId="37" borderId="10" xfId="33" applyNumberFormat="1" applyFont="1" applyFill="1" applyBorder="1" applyAlignment="1" applyProtection="1">
      <alignment horizontal="center" vertical="center" wrapText="1"/>
      <protection/>
    </xf>
    <xf numFmtId="0" fontId="13" fillId="38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170" fontId="8" fillId="34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justify" vertical="top" wrapText="1"/>
    </xf>
    <xf numFmtId="170" fontId="1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wrapText="1"/>
    </xf>
    <xf numFmtId="0" fontId="14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49" fontId="11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F4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DCC6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61"/>
  <sheetViews>
    <sheetView tabSelected="1" view="pageBreakPreview" zoomScaleSheetLayoutView="100" zoomScalePageLayoutView="0" workbookViewId="0" topLeftCell="A1">
      <pane xSplit="4" topLeftCell="E1" activePane="topRight" state="frozen"/>
      <selection pane="topLeft" activeCell="A142" sqref="A142"/>
      <selection pane="topRight" activeCell="I2" sqref="I2:L2"/>
    </sheetView>
  </sheetViews>
  <sheetFormatPr defaultColWidth="9.140625" defaultRowHeight="15"/>
  <cols>
    <col min="1" max="1" width="8.57421875" style="1" hidden="1" customWidth="1"/>
    <col min="2" max="2" width="21.140625" style="2" customWidth="1"/>
    <col min="3" max="3" width="65.421875" style="1" customWidth="1"/>
    <col min="4" max="4" width="19.140625" style="1" customWidth="1"/>
    <col min="5" max="5" width="22.421875" style="1" customWidth="1"/>
    <col min="6" max="6" width="17.421875" style="1" customWidth="1"/>
    <col min="7" max="7" width="18.8515625" style="1" customWidth="1"/>
    <col min="8" max="8" width="18.57421875" style="1" customWidth="1"/>
    <col min="9" max="9" width="18.140625" style="1" customWidth="1"/>
    <col min="10" max="12" width="18.140625" style="3" customWidth="1"/>
    <col min="13" max="16384" width="9.140625" style="1" customWidth="1"/>
  </cols>
  <sheetData>
    <row r="1" spans="1:12" ht="46.5" customHeight="1">
      <c r="A1" s="4"/>
      <c r="B1" s="5"/>
      <c r="C1" s="4"/>
      <c r="D1" s="4"/>
      <c r="E1" s="4"/>
      <c r="G1" s="6"/>
      <c r="H1" s="6"/>
      <c r="I1" s="59"/>
      <c r="J1" s="59"/>
      <c r="K1" s="59" t="s">
        <v>127</v>
      </c>
      <c r="L1" s="59"/>
    </row>
    <row r="2" spans="1:12" ht="98.25" customHeight="1">
      <c r="A2" s="4"/>
      <c r="B2" s="5"/>
      <c r="C2" s="4"/>
      <c r="D2" s="4"/>
      <c r="E2" s="4"/>
      <c r="G2" s="7"/>
      <c r="H2" s="7"/>
      <c r="I2" s="60" t="s">
        <v>0</v>
      </c>
      <c r="J2" s="60"/>
      <c r="K2" s="60"/>
      <c r="L2" s="60"/>
    </row>
    <row r="3" spans="1:12" ht="16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customHeight="1">
      <c r="A4" s="62" t="s">
        <v>2</v>
      </c>
      <c r="B4" s="62"/>
      <c r="C4" s="62"/>
      <c r="D4" s="62" t="s">
        <v>3</v>
      </c>
      <c r="E4" s="62"/>
      <c r="F4" s="62"/>
      <c r="G4" s="62"/>
      <c r="H4" s="62"/>
      <c r="I4" s="62"/>
      <c r="J4" s="62"/>
      <c r="K4" s="62"/>
      <c r="L4" s="62"/>
    </row>
    <row r="5" spans="1:12" ht="15" customHeight="1">
      <c r="A5" s="63" t="s">
        <v>4</v>
      </c>
      <c r="B5" s="64" t="s">
        <v>5</v>
      </c>
      <c r="C5" s="62" t="s">
        <v>6</v>
      </c>
      <c r="D5" s="62" t="s">
        <v>7</v>
      </c>
      <c r="E5" s="62" t="s">
        <v>8</v>
      </c>
      <c r="F5" s="62"/>
      <c r="G5" s="62"/>
      <c r="H5" s="62"/>
      <c r="I5" s="62"/>
      <c r="J5" s="62"/>
      <c r="K5" s="62"/>
      <c r="L5" s="62"/>
    </row>
    <row r="6" spans="1:12" ht="15">
      <c r="A6" s="63"/>
      <c r="B6" s="64"/>
      <c r="C6" s="62"/>
      <c r="D6" s="62"/>
      <c r="E6" s="8" t="s">
        <v>9</v>
      </c>
      <c r="F6" s="8">
        <v>2020</v>
      </c>
      <c r="G6" s="8">
        <v>2021</v>
      </c>
      <c r="H6" s="8">
        <v>2022</v>
      </c>
      <c r="I6" s="8">
        <v>2023</v>
      </c>
      <c r="J6" s="11">
        <v>2024</v>
      </c>
      <c r="K6" s="11">
        <v>2025</v>
      </c>
      <c r="L6" s="11">
        <v>2026</v>
      </c>
    </row>
    <row r="7" spans="1:12" ht="15">
      <c r="A7" s="8">
        <v>1</v>
      </c>
      <c r="B7" s="10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2">
        <v>10</v>
      </c>
      <c r="K7" s="13">
        <v>11</v>
      </c>
      <c r="L7" s="13">
        <v>12</v>
      </c>
    </row>
    <row r="8" spans="1:12" ht="13.5" customHeight="1">
      <c r="A8" s="65"/>
      <c r="B8" s="66" t="s">
        <v>10</v>
      </c>
      <c r="C8" s="67" t="s">
        <v>11</v>
      </c>
      <c r="D8" s="14" t="s">
        <v>9</v>
      </c>
      <c r="E8" s="15">
        <f>SUM(F8:L8)</f>
        <v>7507912.42295</v>
      </c>
      <c r="F8" s="15">
        <f aca="true" t="shared" si="0" ref="F8:L8">F9+F10+F11</f>
        <v>1442986.37745</v>
      </c>
      <c r="G8" s="15">
        <f t="shared" si="0"/>
        <v>1220809.1605</v>
      </c>
      <c r="H8" s="15">
        <f t="shared" si="0"/>
        <v>528555.285</v>
      </c>
      <c r="I8" s="15">
        <f t="shared" si="0"/>
        <v>1909835.3</v>
      </c>
      <c r="J8" s="15">
        <f t="shared" si="0"/>
        <v>1099156</v>
      </c>
      <c r="K8" s="15">
        <f t="shared" si="0"/>
        <v>533072.2</v>
      </c>
      <c r="L8" s="15">
        <f t="shared" si="0"/>
        <v>773498.1000000001</v>
      </c>
    </row>
    <row r="9" spans="1:12" ht="30">
      <c r="A9" s="65"/>
      <c r="B9" s="66"/>
      <c r="C9" s="67"/>
      <c r="D9" s="16" t="s">
        <v>12</v>
      </c>
      <c r="E9" s="17">
        <f>SUM(F9:L9)</f>
        <v>5885814.360030001</v>
      </c>
      <c r="F9" s="17">
        <f aca="true" t="shared" si="1" ref="F9:L10">F13+F101+F149</f>
        <v>700229.4000299999</v>
      </c>
      <c r="G9" s="17">
        <f t="shared" si="1"/>
        <v>427579.82999999996</v>
      </c>
      <c r="H9" s="17">
        <f t="shared" si="1"/>
        <v>442443.53</v>
      </c>
      <c r="I9" s="17">
        <f t="shared" si="1"/>
        <v>1909835.3</v>
      </c>
      <c r="J9" s="17">
        <f t="shared" si="1"/>
        <v>1099156</v>
      </c>
      <c r="K9" s="17">
        <f t="shared" si="1"/>
        <v>533072.2</v>
      </c>
      <c r="L9" s="17">
        <f t="shared" si="1"/>
        <v>773498.1000000001</v>
      </c>
    </row>
    <row r="10" spans="1:12" ht="25.5" customHeight="1">
      <c r="A10" s="65"/>
      <c r="B10" s="66"/>
      <c r="C10" s="67"/>
      <c r="D10" s="16" t="s">
        <v>13</v>
      </c>
      <c r="E10" s="17">
        <f>SUM(F10:L10)</f>
        <v>757371.85952</v>
      </c>
      <c r="F10" s="17">
        <f t="shared" si="1"/>
        <v>254414.06472</v>
      </c>
      <c r="G10" s="17">
        <f t="shared" si="1"/>
        <v>440157.2398</v>
      </c>
      <c r="H10" s="17">
        <f t="shared" si="1"/>
        <v>62800.555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</row>
    <row r="11" spans="1:12" ht="30">
      <c r="A11" s="65"/>
      <c r="B11" s="66"/>
      <c r="C11" s="67"/>
      <c r="D11" s="16" t="s">
        <v>14</v>
      </c>
      <c r="E11" s="17">
        <f>SUM(F11:L11)</f>
        <v>864726.2034</v>
      </c>
      <c r="F11" s="17">
        <f aca="true" t="shared" si="2" ref="F11:L11">F15+F103</f>
        <v>488342.91270000004</v>
      </c>
      <c r="G11" s="17">
        <f t="shared" si="2"/>
        <v>353072.0907</v>
      </c>
      <c r="H11" s="17">
        <f t="shared" si="2"/>
        <v>23311.2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</row>
    <row r="12" spans="1:12" ht="15" customHeight="1">
      <c r="A12" s="63"/>
      <c r="B12" s="66" t="s">
        <v>15</v>
      </c>
      <c r="C12" s="67" t="s">
        <v>16</v>
      </c>
      <c r="D12" s="14" t="s">
        <v>9</v>
      </c>
      <c r="E12" s="15">
        <f>SUM(F12:L12)</f>
        <v>5330593.66295</v>
      </c>
      <c r="F12" s="15">
        <f aca="true" t="shared" si="3" ref="F12:L12">F13+F14+F15</f>
        <v>1181824.77745</v>
      </c>
      <c r="G12" s="15">
        <f t="shared" si="3"/>
        <v>936262.6605</v>
      </c>
      <c r="H12" s="15">
        <f t="shared" si="3"/>
        <v>355885.42500000005</v>
      </c>
      <c r="I12" s="15">
        <f t="shared" si="3"/>
        <v>1816607.4</v>
      </c>
      <c r="J12" s="15">
        <f t="shared" si="3"/>
        <v>645169.8999999999</v>
      </c>
      <c r="K12" s="15">
        <f t="shared" si="3"/>
        <v>190588.39999999997</v>
      </c>
      <c r="L12" s="15">
        <f t="shared" si="3"/>
        <v>204255.1</v>
      </c>
    </row>
    <row r="13" spans="1:12" ht="28.5">
      <c r="A13" s="63"/>
      <c r="B13" s="66"/>
      <c r="C13" s="67"/>
      <c r="D13" s="14" t="s">
        <v>12</v>
      </c>
      <c r="E13" s="15">
        <f aca="true" t="shared" si="4" ref="E13:E37">F13+G13+H13+I13+J13+K13+L13</f>
        <v>3896512.93385</v>
      </c>
      <c r="F13" s="15">
        <f>F16+F18+F19+F29+F30+F31+F32+F34+F39+F41+F42+F43+F44+F45+F47+F48+F51+F59+F62+F65+F66+F69+F70+F71+F72+F76+F77+F79+F82+F83+F84+F85+F86+F87+F89+F88+F90+F91+F92+F93+F46+F94+F96+F95+F98+F37+F55</f>
        <v>545978.93385</v>
      </c>
      <c r="G13" s="15">
        <f>G16+G18+G19+G29+G30+G31+G32+G34+G39+G41+G42+G43+G44+G45+G47+G48+G51+G59+G62+G63+G64+G65+G66+G69+G70+G71+G72+G76+G79+G82+G83+G84+G55+G46+G99</f>
        <v>224086.43</v>
      </c>
      <c r="H13" s="15">
        <f>H16+H18+H19+H29+H30+H31+H32+H34+H39+H41+H42+H43+H44+H45+H47+H48+H51+H59+H62+H65+H66+H69+H70+H71+H72+H76+H77++H79+H82+H84+H67+H97+H26</f>
        <v>269826.77</v>
      </c>
      <c r="I13" s="15">
        <f>I16+I18+I19+I29+I30+I31+I32+I34+I39+I41+I42+I43+I44+I45+I47+I48+I51+I59+I62+I65+I66+I69+I70+I71+I72+I76+I77++I79+I82+I84+I17+I20+I21+I22+I23+I24+I25+I27+I28+I36+I37+I68+I83</f>
        <v>1816607.4</v>
      </c>
      <c r="J13" s="15">
        <f>J16+J18+J19+J29+J30+J31+J32+J34+J39+J41+J42+J43+J44+J45+J47+J48+J51+J59+J62+J65+J66+J69+J70+J71+J72+J76+J77++J79+J82+J84+J17+J20+J21+J22+J23+J24+J25+J27+J28+J36+J37+J68+J83</f>
        <v>645169.8999999999</v>
      </c>
      <c r="K13" s="15">
        <f>K16+K18+K19+K29+K30+K31+K32+K34+K39+K41+K42+K43+K44+K45+K47+K48+K51+K59+K62+K65+K66+K69+K70+K71+K72+K76+K77++K79+K82+K84+K17+K20+K21+K22+K23+K24+K25+K27+K28+K36+K37+K68+K83</f>
        <v>190588.39999999997</v>
      </c>
      <c r="L13" s="15">
        <f>L16+L18+L19+L29+L30+L31+L32+L34+L39+L41+L42+L43+L44+L45+L47+L48+L51+L59+L62+L65+L66+L69+L70+L71+L72+L76+L77++L79+L82+L84+L17+L20+L21+L22+L23+L24+L25+L27+L28+L36+L37+L68+L83+L49</f>
        <v>204255.1</v>
      </c>
    </row>
    <row r="14" spans="1:12" ht="42.75">
      <c r="A14" s="63"/>
      <c r="B14" s="66"/>
      <c r="C14" s="67"/>
      <c r="D14" s="14" t="s">
        <v>13</v>
      </c>
      <c r="E14" s="15">
        <f t="shared" si="4"/>
        <v>569354.5257</v>
      </c>
      <c r="F14" s="15">
        <f>F35+F40+F52+F60+F63+F74</f>
        <v>147502.93089999998</v>
      </c>
      <c r="G14" s="15">
        <f>G35+G40+G52+G60+G63+G74+G80+G56</f>
        <v>359104.1398</v>
      </c>
      <c r="H14" s="15">
        <f>H35+H40+H52+H60+H74</f>
        <v>62747.455</v>
      </c>
      <c r="I14" s="15">
        <f>I35+I40+I52+I60++I63+I74</f>
        <v>0</v>
      </c>
      <c r="J14" s="15">
        <f>J35+J40+J52+J60++J63+J74</f>
        <v>0</v>
      </c>
      <c r="K14" s="15">
        <f>K35+K40+K52+K60++K63+K74</f>
        <v>0</v>
      </c>
      <c r="L14" s="15">
        <f>L35+L40+L52+L60++L63+L74</f>
        <v>0</v>
      </c>
    </row>
    <row r="15" spans="1:12" ht="28.5">
      <c r="A15" s="63"/>
      <c r="B15" s="66"/>
      <c r="C15" s="67"/>
      <c r="D15" s="14" t="s">
        <v>14</v>
      </c>
      <c r="E15" s="15">
        <f t="shared" si="4"/>
        <v>864726.2034</v>
      </c>
      <c r="F15" s="15">
        <f>F53+F64+F81</f>
        <v>488342.91270000004</v>
      </c>
      <c r="G15" s="15">
        <f>G53+G64+G81+G57+G75</f>
        <v>353072.0907</v>
      </c>
      <c r="H15" s="15">
        <f>H75</f>
        <v>23311.2</v>
      </c>
      <c r="I15" s="15">
        <f>I53+I64</f>
        <v>0</v>
      </c>
      <c r="J15" s="15">
        <f>J53+J64</f>
        <v>0</v>
      </c>
      <c r="K15" s="15">
        <f>K53+K64</f>
        <v>0</v>
      </c>
      <c r="L15" s="15">
        <f>L53+L64</f>
        <v>0</v>
      </c>
    </row>
    <row r="16" spans="1:12" ht="45">
      <c r="A16" s="9"/>
      <c r="B16" s="18"/>
      <c r="C16" s="19" t="s">
        <v>17</v>
      </c>
      <c r="D16" s="16" t="s">
        <v>18</v>
      </c>
      <c r="E16" s="17">
        <f t="shared" si="4"/>
        <v>43089.7</v>
      </c>
      <c r="F16" s="17">
        <v>21755</v>
      </c>
      <c r="G16" s="17">
        <v>21334.7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30">
      <c r="A17" s="9"/>
      <c r="B17" s="18"/>
      <c r="C17" s="19" t="s">
        <v>19</v>
      </c>
      <c r="D17" s="16" t="s">
        <v>18</v>
      </c>
      <c r="E17" s="17">
        <f t="shared" si="4"/>
        <v>763964.1</v>
      </c>
      <c r="F17" s="17">
        <v>0</v>
      </c>
      <c r="G17" s="17">
        <v>0</v>
      </c>
      <c r="H17" s="17">
        <v>0</v>
      </c>
      <c r="I17" s="17">
        <v>763964.1</v>
      </c>
      <c r="J17" s="17">
        <v>0</v>
      </c>
      <c r="K17" s="17">
        <v>0</v>
      </c>
      <c r="L17" s="17">
        <v>0</v>
      </c>
    </row>
    <row r="18" spans="1:12" ht="30">
      <c r="A18" s="8"/>
      <c r="B18" s="10"/>
      <c r="C18" s="20" t="s">
        <v>20</v>
      </c>
      <c r="D18" s="16" t="s">
        <v>18</v>
      </c>
      <c r="E18" s="17">
        <f t="shared" si="4"/>
        <v>176818.1</v>
      </c>
      <c r="F18" s="21">
        <f>274.2</f>
        <v>274.2</v>
      </c>
      <c r="G18" s="21">
        <f>10950-10675.8</f>
        <v>274.2000000000007</v>
      </c>
      <c r="H18" s="21">
        <v>0</v>
      </c>
      <c r="I18" s="21">
        <v>176269.7</v>
      </c>
      <c r="J18" s="21">
        <v>0</v>
      </c>
      <c r="K18" s="21">
        <v>0</v>
      </c>
      <c r="L18" s="21">
        <v>0</v>
      </c>
    </row>
    <row r="19" spans="1:12" ht="30">
      <c r="A19" s="9"/>
      <c r="B19" s="18"/>
      <c r="C19" s="19" t="s">
        <v>21</v>
      </c>
      <c r="D19" s="16" t="s">
        <v>18</v>
      </c>
      <c r="E19" s="17">
        <f t="shared" si="4"/>
        <v>7600</v>
      </c>
      <c r="F19" s="17">
        <v>0</v>
      </c>
      <c r="G19" s="17">
        <v>7600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ht="30">
      <c r="A20" s="9"/>
      <c r="B20" s="18"/>
      <c r="C20" s="19" t="s">
        <v>22</v>
      </c>
      <c r="D20" s="16" t="s">
        <v>18</v>
      </c>
      <c r="E20" s="17">
        <f t="shared" si="4"/>
        <v>3500.1</v>
      </c>
      <c r="F20" s="17">
        <v>0</v>
      </c>
      <c r="G20" s="17">
        <v>0</v>
      </c>
      <c r="H20" s="17">
        <v>0</v>
      </c>
      <c r="I20" s="17">
        <v>3500.1</v>
      </c>
      <c r="J20" s="17">
        <v>0</v>
      </c>
      <c r="K20" s="17">
        <v>0</v>
      </c>
      <c r="L20" s="17">
        <v>0</v>
      </c>
    </row>
    <row r="21" spans="1:12" ht="30">
      <c r="A21" s="9"/>
      <c r="B21" s="18"/>
      <c r="C21" s="19" t="s">
        <v>23</v>
      </c>
      <c r="D21" s="16" t="s">
        <v>18</v>
      </c>
      <c r="E21" s="17">
        <f t="shared" si="4"/>
        <v>5056.2</v>
      </c>
      <c r="F21" s="17">
        <v>0</v>
      </c>
      <c r="G21" s="17">
        <v>0</v>
      </c>
      <c r="H21" s="17">
        <v>0</v>
      </c>
      <c r="I21" s="17">
        <v>5056.2</v>
      </c>
      <c r="J21" s="17">
        <v>0</v>
      </c>
      <c r="K21" s="17">
        <v>0</v>
      </c>
      <c r="L21" s="17">
        <v>0</v>
      </c>
    </row>
    <row r="22" spans="1:12" ht="30">
      <c r="A22" s="9"/>
      <c r="B22" s="18"/>
      <c r="C22" s="19" t="s">
        <v>24</v>
      </c>
      <c r="D22" s="16" t="s">
        <v>18</v>
      </c>
      <c r="E22" s="17">
        <f t="shared" si="4"/>
        <v>4206.6</v>
      </c>
      <c r="F22" s="17">
        <v>0</v>
      </c>
      <c r="G22" s="17">
        <v>0</v>
      </c>
      <c r="H22" s="17">
        <v>0</v>
      </c>
      <c r="I22" s="17">
        <v>0</v>
      </c>
      <c r="J22" s="17">
        <v>4206.6</v>
      </c>
      <c r="K22" s="17">
        <v>0</v>
      </c>
      <c r="L22" s="17">
        <v>0</v>
      </c>
    </row>
    <row r="23" spans="1:12" ht="30">
      <c r="A23" s="9"/>
      <c r="B23" s="18"/>
      <c r="C23" s="19" t="s">
        <v>25</v>
      </c>
      <c r="D23" s="16" t="s">
        <v>18</v>
      </c>
      <c r="E23" s="17">
        <f t="shared" si="4"/>
        <v>5207.5</v>
      </c>
      <c r="F23" s="17">
        <v>0</v>
      </c>
      <c r="G23" s="17">
        <v>0</v>
      </c>
      <c r="H23" s="17">
        <v>0</v>
      </c>
      <c r="I23" s="17">
        <v>0</v>
      </c>
      <c r="J23" s="17">
        <v>5207.5</v>
      </c>
      <c r="K23" s="17">
        <v>0</v>
      </c>
      <c r="L23" s="17">
        <v>0</v>
      </c>
    </row>
    <row r="24" spans="1:12" ht="30">
      <c r="A24" s="9"/>
      <c r="B24" s="18"/>
      <c r="C24" s="19" t="s">
        <v>26</v>
      </c>
      <c r="D24" s="16" t="s">
        <v>18</v>
      </c>
      <c r="E24" s="17">
        <f t="shared" si="4"/>
        <v>4424.9</v>
      </c>
      <c r="F24" s="17">
        <v>0</v>
      </c>
      <c r="G24" s="17">
        <v>0</v>
      </c>
      <c r="H24" s="17">
        <v>0</v>
      </c>
      <c r="I24" s="17">
        <v>0</v>
      </c>
      <c r="J24" s="17">
        <v>4424.9</v>
      </c>
      <c r="K24" s="17">
        <v>0</v>
      </c>
      <c r="L24" s="17">
        <v>0</v>
      </c>
    </row>
    <row r="25" spans="1:12" ht="30">
      <c r="A25" s="9"/>
      <c r="B25" s="18"/>
      <c r="C25" s="19" t="s">
        <v>27</v>
      </c>
      <c r="D25" s="16" t="s">
        <v>18</v>
      </c>
      <c r="E25" s="17">
        <f t="shared" si="4"/>
        <v>5223.8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5223.8</v>
      </c>
      <c r="L25" s="17">
        <v>0</v>
      </c>
    </row>
    <row r="26" spans="1:12" ht="35.25" customHeight="1">
      <c r="A26" s="9"/>
      <c r="B26" s="18"/>
      <c r="C26" s="19" t="s">
        <v>28</v>
      </c>
      <c r="D26" s="16" t="s">
        <v>18</v>
      </c>
      <c r="E26" s="17">
        <f t="shared" si="4"/>
        <v>6006.2</v>
      </c>
      <c r="F26" s="17">
        <v>0</v>
      </c>
      <c r="G26" s="17">
        <v>0</v>
      </c>
      <c r="H26" s="17">
        <f>6006.2</f>
        <v>6006.2</v>
      </c>
      <c r="I26" s="17">
        <v>0</v>
      </c>
      <c r="J26" s="17">
        <v>0</v>
      </c>
      <c r="K26" s="17">
        <v>0</v>
      </c>
      <c r="L26" s="17">
        <v>0</v>
      </c>
    </row>
    <row r="27" spans="1:12" ht="30">
      <c r="A27" s="9"/>
      <c r="B27" s="18"/>
      <c r="C27" s="19" t="s">
        <v>29</v>
      </c>
      <c r="D27" s="16" t="s">
        <v>18</v>
      </c>
      <c r="E27" s="17">
        <f t="shared" si="4"/>
        <v>7645.8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7645.8</v>
      </c>
      <c r="L27" s="17">
        <v>0</v>
      </c>
    </row>
    <row r="28" spans="1:12" ht="30">
      <c r="A28" s="9"/>
      <c r="B28" s="18"/>
      <c r="C28" s="19" t="s">
        <v>30</v>
      </c>
      <c r="D28" s="16" t="s">
        <v>18</v>
      </c>
      <c r="E28" s="17">
        <f t="shared" si="4"/>
        <v>28461.3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28461.3</v>
      </c>
    </row>
    <row r="29" spans="1:12" ht="30">
      <c r="A29" s="9"/>
      <c r="B29" s="18"/>
      <c r="C29" s="19" t="s">
        <v>31</v>
      </c>
      <c r="D29" s="16" t="s">
        <v>18</v>
      </c>
      <c r="E29" s="17">
        <f t="shared" si="4"/>
        <v>11023</v>
      </c>
      <c r="F29" s="17">
        <v>0</v>
      </c>
      <c r="G29" s="17">
        <v>0</v>
      </c>
      <c r="H29" s="17">
        <v>11023</v>
      </c>
      <c r="I29" s="17">
        <v>0</v>
      </c>
      <c r="J29" s="17">
        <v>0</v>
      </c>
      <c r="K29" s="17">
        <v>0</v>
      </c>
      <c r="L29" s="17">
        <v>0</v>
      </c>
    </row>
    <row r="30" spans="1:12" ht="30">
      <c r="A30" s="9"/>
      <c r="B30" s="18"/>
      <c r="C30" s="19" t="s">
        <v>32</v>
      </c>
      <c r="D30" s="16" t="s">
        <v>18</v>
      </c>
      <c r="E30" s="17">
        <f t="shared" si="4"/>
        <v>18524.3</v>
      </c>
      <c r="F30" s="17">
        <f>27524.3-9000</f>
        <v>18524.3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ht="30">
      <c r="A31" s="18"/>
      <c r="B31" s="22"/>
      <c r="C31" s="19" t="s">
        <v>33</v>
      </c>
      <c r="D31" s="16" t="s">
        <v>18</v>
      </c>
      <c r="E31" s="17">
        <f t="shared" si="4"/>
        <v>16008</v>
      </c>
      <c r="F31" s="17">
        <v>0</v>
      </c>
      <c r="G31" s="17">
        <v>16008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ht="30">
      <c r="A32" s="18"/>
      <c r="B32" s="22"/>
      <c r="C32" s="19" t="s">
        <v>34</v>
      </c>
      <c r="D32" s="16" t="s">
        <v>18</v>
      </c>
      <c r="E32" s="17">
        <f t="shared" si="4"/>
        <v>15561.4</v>
      </c>
      <c r="F32" s="17">
        <f>189</f>
        <v>189</v>
      </c>
      <c r="G32" s="17">
        <v>0</v>
      </c>
      <c r="H32" s="17">
        <v>15372.4</v>
      </c>
      <c r="I32" s="17">
        <v>0</v>
      </c>
      <c r="J32" s="17">
        <v>0</v>
      </c>
      <c r="K32" s="17">
        <v>0</v>
      </c>
      <c r="L32" s="17">
        <v>0</v>
      </c>
    </row>
    <row r="33" spans="1:12" ht="15" customHeight="1">
      <c r="A33" s="18"/>
      <c r="B33" s="68"/>
      <c r="C33" s="69" t="s">
        <v>35</v>
      </c>
      <c r="D33" s="14" t="s">
        <v>9</v>
      </c>
      <c r="E33" s="15">
        <f t="shared" si="4"/>
        <v>61933.35457</v>
      </c>
      <c r="F33" s="15">
        <f aca="true" t="shared" si="5" ref="F33:L33">F34+F35</f>
        <v>47433.35457</v>
      </c>
      <c r="G33" s="15">
        <f t="shared" si="5"/>
        <v>0</v>
      </c>
      <c r="H33" s="15">
        <f t="shared" si="5"/>
        <v>14500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</row>
    <row r="34" spans="1:12" ht="30">
      <c r="A34" s="18"/>
      <c r="B34" s="68"/>
      <c r="C34" s="69"/>
      <c r="D34" s="16" t="s">
        <v>18</v>
      </c>
      <c r="E34" s="17">
        <f t="shared" si="4"/>
        <v>21559.870000000003</v>
      </c>
      <c r="F34" s="24">
        <f>22822.3+1620.9-2583.33-300</f>
        <v>21559.870000000003</v>
      </c>
      <c r="G34" s="17">
        <f>1620.9-1620.9</f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</row>
    <row r="35" spans="1:12" ht="30">
      <c r="A35" s="18"/>
      <c r="B35" s="68"/>
      <c r="C35" s="69"/>
      <c r="D35" s="16" t="s">
        <v>13</v>
      </c>
      <c r="E35" s="17">
        <f t="shared" si="4"/>
        <v>40373.48457</v>
      </c>
      <c r="F35" s="24">
        <f>54500-12601.6-16024.91543</f>
        <v>25873.48457</v>
      </c>
      <c r="G35" s="17">
        <v>0</v>
      </c>
      <c r="H35" s="17">
        <v>14500</v>
      </c>
      <c r="I35" s="17">
        <v>0</v>
      </c>
      <c r="J35" s="17">
        <v>0</v>
      </c>
      <c r="K35" s="17">
        <v>0</v>
      </c>
      <c r="L35" s="17">
        <v>0</v>
      </c>
    </row>
    <row r="36" spans="1:12" ht="30">
      <c r="A36" s="18"/>
      <c r="B36" s="23"/>
      <c r="C36" s="19" t="s">
        <v>36</v>
      </c>
      <c r="D36" s="16" t="s">
        <v>18</v>
      </c>
      <c r="E36" s="17">
        <f t="shared" si="4"/>
        <v>297817.3</v>
      </c>
      <c r="F36" s="17">
        <v>0</v>
      </c>
      <c r="G36" s="17">
        <v>0</v>
      </c>
      <c r="H36" s="17">
        <v>0</v>
      </c>
      <c r="I36" s="17">
        <v>297817.3</v>
      </c>
      <c r="J36" s="17">
        <v>0</v>
      </c>
      <c r="K36" s="17">
        <v>0</v>
      </c>
      <c r="L36" s="17">
        <v>0</v>
      </c>
    </row>
    <row r="37" spans="1:12" ht="30">
      <c r="A37" s="18"/>
      <c r="B37" s="25"/>
      <c r="C37" s="19" t="s">
        <v>37</v>
      </c>
      <c r="D37" s="16" t="s">
        <v>18</v>
      </c>
      <c r="E37" s="17">
        <f t="shared" si="4"/>
        <v>246233.6</v>
      </c>
      <c r="F37" s="17">
        <f>186.3+169.5</f>
        <v>355.8</v>
      </c>
      <c r="G37" s="17">
        <v>0</v>
      </c>
      <c r="H37" s="17">
        <v>0</v>
      </c>
      <c r="I37" s="17">
        <v>120000</v>
      </c>
      <c r="J37" s="17">
        <v>125877.8</v>
      </c>
      <c r="K37" s="17">
        <v>0</v>
      </c>
      <c r="L37" s="17">
        <v>0</v>
      </c>
    </row>
    <row r="38" spans="1:12" ht="19.5" customHeight="1">
      <c r="A38" s="18"/>
      <c r="B38" s="68"/>
      <c r="C38" s="70" t="s">
        <v>38</v>
      </c>
      <c r="D38" s="14" t="s">
        <v>9</v>
      </c>
      <c r="E38" s="15">
        <f aca="true" t="shared" si="6" ref="E38:L38">E39+E40</f>
        <v>5858.4</v>
      </c>
      <c r="F38" s="15">
        <f t="shared" si="6"/>
        <v>5858.4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</row>
    <row r="39" spans="1:12" ht="30">
      <c r="A39" s="18"/>
      <c r="B39" s="68"/>
      <c r="C39" s="70"/>
      <c r="D39" s="16" t="s">
        <v>18</v>
      </c>
      <c r="E39" s="17">
        <f aca="true" t="shared" si="7" ref="E39:E57">F39+G39+H39+I39+J39+K39+L39</f>
        <v>2614.83382</v>
      </c>
      <c r="F39" s="26">
        <f>1729.9+106.43382+778.5</f>
        <v>2614.83382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1:12" ht="36" customHeight="1">
      <c r="A40" s="18"/>
      <c r="B40" s="68"/>
      <c r="C40" s="70"/>
      <c r="D40" s="16" t="s">
        <v>13</v>
      </c>
      <c r="E40" s="17">
        <f t="shared" si="7"/>
        <v>3243.56618</v>
      </c>
      <c r="F40" s="17">
        <f>3350-106.43382</f>
        <v>3243.56618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30">
      <c r="A41" s="9"/>
      <c r="B41" s="18"/>
      <c r="C41" s="19" t="s">
        <v>39</v>
      </c>
      <c r="D41" s="16" t="s">
        <v>18</v>
      </c>
      <c r="E41" s="17">
        <f t="shared" si="7"/>
        <v>93238.82003</v>
      </c>
      <c r="F41" s="26">
        <f>56895.3+4025.51073-2243.08-1494.3107</f>
        <v>57183.42003</v>
      </c>
      <c r="G41" s="17">
        <f>80000-69379.2-10620.8</f>
        <v>0</v>
      </c>
      <c r="H41" s="17">
        <v>36055.4</v>
      </c>
      <c r="I41" s="17">
        <v>0</v>
      </c>
      <c r="J41" s="17">
        <v>0</v>
      </c>
      <c r="K41" s="17">
        <v>0</v>
      </c>
      <c r="L41" s="17">
        <v>0</v>
      </c>
    </row>
    <row r="42" spans="1:12" ht="30">
      <c r="A42" s="8"/>
      <c r="B42" s="10"/>
      <c r="C42" s="20" t="s">
        <v>40</v>
      </c>
      <c r="D42" s="16" t="s">
        <v>18</v>
      </c>
      <c r="E42" s="17">
        <f t="shared" si="7"/>
        <v>44826.41</v>
      </c>
      <c r="F42" s="17">
        <f>40000+2243.08+2583.33</f>
        <v>44826.41</v>
      </c>
      <c r="G42" s="17">
        <f>40000-40000</f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2" ht="30">
      <c r="A43" s="8"/>
      <c r="B43" s="10"/>
      <c r="C43" s="20" t="s">
        <v>41</v>
      </c>
      <c r="D43" s="16" t="s">
        <v>18</v>
      </c>
      <c r="E43" s="17">
        <f t="shared" si="7"/>
        <v>3871</v>
      </c>
      <c r="F43" s="17">
        <v>0</v>
      </c>
      <c r="G43" s="17">
        <v>3871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1:12" ht="30">
      <c r="A44" s="8"/>
      <c r="B44" s="10"/>
      <c r="C44" s="20" t="s">
        <v>42</v>
      </c>
      <c r="D44" s="16" t="s">
        <v>18</v>
      </c>
      <c r="E44" s="17">
        <f t="shared" si="7"/>
        <v>1351.1</v>
      </c>
      <c r="F44" s="17">
        <f>20+54.3</f>
        <v>74.3</v>
      </c>
      <c r="G44" s="17">
        <f>1296.8-20</f>
        <v>1276.8</v>
      </c>
      <c r="H44" s="17">
        <v>0</v>
      </c>
      <c r="I44" s="17">
        <f>110479.6-110479.6</f>
        <v>0</v>
      </c>
      <c r="J44" s="17">
        <f>52039.5-52039.5</f>
        <v>0</v>
      </c>
      <c r="K44" s="17">
        <v>0</v>
      </c>
      <c r="L44" s="17">
        <v>0</v>
      </c>
    </row>
    <row r="45" spans="1:12" ht="27.75" customHeight="1">
      <c r="A45" s="8"/>
      <c r="B45" s="18"/>
      <c r="C45" s="19" t="s">
        <v>43</v>
      </c>
      <c r="D45" s="16" t="s">
        <v>18</v>
      </c>
      <c r="E45" s="17">
        <f t="shared" si="7"/>
        <v>81945.9</v>
      </c>
      <c r="F45" s="17">
        <f>32703-19621.8</f>
        <v>13081.2</v>
      </c>
      <c r="G45" s="17">
        <v>19621.8</v>
      </c>
      <c r="H45" s="17">
        <v>49242.9</v>
      </c>
      <c r="I45" s="17">
        <v>0</v>
      </c>
      <c r="J45" s="17">
        <v>0</v>
      </c>
      <c r="K45" s="17">
        <v>0</v>
      </c>
      <c r="L45" s="17">
        <v>0</v>
      </c>
    </row>
    <row r="46" spans="1:12" ht="27.75" customHeight="1">
      <c r="A46" s="8"/>
      <c r="B46" s="18"/>
      <c r="C46" s="19" t="s">
        <v>44</v>
      </c>
      <c r="D46" s="16" t="s">
        <v>18</v>
      </c>
      <c r="E46" s="17">
        <f t="shared" si="7"/>
        <v>57945</v>
      </c>
      <c r="F46" s="17">
        <f>57945-32805.2</f>
        <v>25139.800000000003</v>
      </c>
      <c r="G46" s="17">
        <v>32805.2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1:12" ht="27.75" customHeight="1">
      <c r="A47" s="8"/>
      <c r="B47" s="18"/>
      <c r="C47" s="19" t="s">
        <v>45</v>
      </c>
      <c r="D47" s="16" t="s">
        <v>18</v>
      </c>
      <c r="E47" s="17">
        <f t="shared" si="7"/>
        <v>44475.6</v>
      </c>
      <c r="F47" s="17">
        <f>22228-13336.8</f>
        <v>8891.2</v>
      </c>
      <c r="G47" s="17">
        <v>13336.8</v>
      </c>
      <c r="H47" s="17">
        <v>22247.6</v>
      </c>
      <c r="I47" s="17">
        <v>0</v>
      </c>
      <c r="J47" s="17">
        <v>0</v>
      </c>
      <c r="K47" s="17">
        <v>0</v>
      </c>
      <c r="L47" s="17">
        <v>0</v>
      </c>
    </row>
    <row r="48" spans="1:12" ht="30">
      <c r="A48" s="9"/>
      <c r="B48" s="18"/>
      <c r="C48" s="19" t="s">
        <v>46</v>
      </c>
      <c r="D48" s="16" t="s">
        <v>18</v>
      </c>
      <c r="E48" s="17">
        <f t="shared" si="7"/>
        <v>1000</v>
      </c>
      <c r="F48" s="17">
        <v>0</v>
      </c>
      <c r="G48" s="17">
        <v>1000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</row>
    <row r="49" spans="1:12" ht="30">
      <c r="A49" s="9"/>
      <c r="B49" s="18"/>
      <c r="C49" s="19" t="s">
        <v>47</v>
      </c>
      <c r="D49" s="16" t="s">
        <v>18</v>
      </c>
      <c r="E49" s="17">
        <f t="shared" si="7"/>
        <v>4820.1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4820.1</v>
      </c>
    </row>
    <row r="50" spans="1:12" ht="13.5" customHeight="1">
      <c r="A50" s="62"/>
      <c r="B50" s="64"/>
      <c r="C50" s="69" t="s">
        <v>48</v>
      </c>
      <c r="D50" s="14" t="s">
        <v>9</v>
      </c>
      <c r="E50" s="15">
        <f t="shared" si="7"/>
        <v>138034.26276</v>
      </c>
      <c r="F50" s="15">
        <f aca="true" t="shared" si="8" ref="F50:L50">F52+F51+F53</f>
        <v>138034.26276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</row>
    <row r="51" spans="1:12" ht="29.25" customHeight="1">
      <c r="A51" s="62"/>
      <c r="B51" s="64"/>
      <c r="C51" s="69"/>
      <c r="D51" s="16" t="s">
        <v>18</v>
      </c>
      <c r="E51" s="17">
        <f t="shared" si="7"/>
        <v>51320</v>
      </c>
      <c r="F51" s="17">
        <f>3250.5+20710.3+33058-444.6-4805.3-448.9</f>
        <v>51320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</row>
    <row r="52" spans="1:12" ht="29.25" customHeight="1">
      <c r="A52" s="62"/>
      <c r="B52" s="64"/>
      <c r="C52" s="69"/>
      <c r="D52" s="16" t="s">
        <v>13</v>
      </c>
      <c r="E52" s="17">
        <f t="shared" si="7"/>
        <v>435.75006</v>
      </c>
      <c r="F52" s="17">
        <v>435.75006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1:12" ht="29.25" customHeight="1">
      <c r="A53" s="62"/>
      <c r="B53" s="64"/>
      <c r="C53" s="69"/>
      <c r="D53" s="16" t="s">
        <v>14</v>
      </c>
      <c r="E53" s="17">
        <f t="shared" si="7"/>
        <v>86278.5127</v>
      </c>
      <c r="F53" s="17">
        <v>86278.5127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</row>
    <row r="54" spans="1:12" ht="29.25" customHeight="1">
      <c r="A54" s="8" t="s">
        <v>49</v>
      </c>
      <c r="B54" s="64"/>
      <c r="C54" s="69" t="s">
        <v>50</v>
      </c>
      <c r="D54" s="14" t="s">
        <v>9</v>
      </c>
      <c r="E54" s="15">
        <f t="shared" si="7"/>
        <v>88187.6755</v>
      </c>
      <c r="F54" s="15">
        <f aca="true" t="shared" si="9" ref="F54:L54">F55+F56+F57</f>
        <v>1250.5</v>
      </c>
      <c r="G54" s="15">
        <f t="shared" si="9"/>
        <v>86937.1755</v>
      </c>
      <c r="H54" s="15">
        <f t="shared" si="9"/>
        <v>0</v>
      </c>
      <c r="I54" s="15">
        <f t="shared" si="9"/>
        <v>0</v>
      </c>
      <c r="J54" s="15">
        <f t="shared" si="9"/>
        <v>0</v>
      </c>
      <c r="K54" s="15">
        <f t="shared" si="9"/>
        <v>0</v>
      </c>
      <c r="L54" s="15">
        <f t="shared" si="9"/>
        <v>0</v>
      </c>
    </row>
    <row r="55" spans="1:12" ht="29.25" customHeight="1">
      <c r="A55" s="8"/>
      <c r="B55" s="64"/>
      <c r="C55" s="69"/>
      <c r="D55" s="16" t="s">
        <v>18</v>
      </c>
      <c r="E55" s="17">
        <f t="shared" si="7"/>
        <v>1685.4</v>
      </c>
      <c r="F55" s="27">
        <v>1250.5</v>
      </c>
      <c r="G55" s="17">
        <v>434.9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1:12" ht="29.25" customHeight="1">
      <c r="A56" s="8"/>
      <c r="B56" s="64"/>
      <c r="C56" s="69"/>
      <c r="D56" s="16" t="s">
        <v>13</v>
      </c>
      <c r="E56" s="17">
        <f t="shared" si="7"/>
        <v>434.6848</v>
      </c>
      <c r="F56" s="17">
        <v>0</v>
      </c>
      <c r="G56" s="17">
        <v>434.6848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</row>
    <row r="57" spans="1:12" ht="29.25" customHeight="1">
      <c r="A57" s="8"/>
      <c r="B57" s="64"/>
      <c r="C57" s="69"/>
      <c r="D57" s="16" t="s">
        <v>14</v>
      </c>
      <c r="E57" s="17">
        <f t="shared" si="7"/>
        <v>86067.5907</v>
      </c>
      <c r="F57" s="17">
        <v>0</v>
      </c>
      <c r="G57" s="17">
        <v>86067.5907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</row>
    <row r="58" spans="1:12" ht="33" customHeight="1">
      <c r="A58" s="8"/>
      <c r="B58" s="64"/>
      <c r="C58" s="69" t="s">
        <v>51</v>
      </c>
      <c r="D58" s="14" t="s">
        <v>9</v>
      </c>
      <c r="E58" s="15">
        <f aca="true" t="shared" si="10" ref="E58:L58">E59+E60</f>
        <v>403916.6</v>
      </c>
      <c r="F58" s="15">
        <f t="shared" si="10"/>
        <v>5819.3</v>
      </c>
      <c r="G58" s="15">
        <f t="shared" si="10"/>
        <v>384756</v>
      </c>
      <c r="H58" s="15">
        <f t="shared" si="10"/>
        <v>13341.3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</row>
    <row r="59" spans="1:12" ht="33" customHeight="1">
      <c r="A59" s="8"/>
      <c r="B59" s="64"/>
      <c r="C59" s="69"/>
      <c r="D59" s="16" t="s">
        <v>18</v>
      </c>
      <c r="E59" s="17">
        <f aca="true" t="shared" si="11" ref="E59:E72">F59+G59+H59+I59+J59+K59+L59</f>
        <v>96111.8</v>
      </c>
      <c r="F59" s="17">
        <f>6888.5-1069.2</f>
        <v>5819.3</v>
      </c>
      <c r="G59" s="28">
        <v>76951.2</v>
      </c>
      <c r="H59" s="17">
        <v>13341.3</v>
      </c>
      <c r="I59" s="17">
        <v>0</v>
      </c>
      <c r="J59" s="17">
        <v>0</v>
      </c>
      <c r="K59" s="17">
        <v>0</v>
      </c>
      <c r="L59" s="17">
        <v>0</v>
      </c>
    </row>
    <row r="60" spans="1:12" ht="30.75" customHeight="1">
      <c r="A60" s="8"/>
      <c r="B60" s="64"/>
      <c r="C60" s="69"/>
      <c r="D60" s="16" t="s">
        <v>13</v>
      </c>
      <c r="E60" s="17">
        <f t="shared" si="11"/>
        <v>307804.8</v>
      </c>
      <c r="F60" s="17">
        <f>156142.4-144876.6+1069.2-12335</f>
        <v>0</v>
      </c>
      <c r="G60" s="28">
        <f>151662.4+143807.4+12335</f>
        <v>307804.8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</row>
    <row r="61" spans="1:12" ht="30.75" customHeight="1">
      <c r="A61" s="8"/>
      <c r="B61" s="64"/>
      <c r="C61" s="69" t="s">
        <v>52</v>
      </c>
      <c r="D61" s="14" t="s">
        <v>9</v>
      </c>
      <c r="E61" s="15">
        <f t="shared" si="11"/>
        <v>629208.29565</v>
      </c>
      <c r="F61" s="15">
        <f aca="true" t="shared" si="12" ref="F61:L61">F62+F63+F64</f>
        <v>629208.29565</v>
      </c>
      <c r="G61" s="15">
        <f t="shared" si="12"/>
        <v>0</v>
      </c>
      <c r="H61" s="15">
        <f t="shared" si="12"/>
        <v>0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</row>
    <row r="62" spans="1:12" ht="30.75" customHeight="1">
      <c r="A62" s="8"/>
      <c r="B62" s="64"/>
      <c r="C62" s="69"/>
      <c r="D62" s="16" t="s">
        <v>18</v>
      </c>
      <c r="E62" s="17">
        <f t="shared" si="11"/>
        <v>214033.1</v>
      </c>
      <c r="F62" s="17">
        <v>214033.1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</row>
    <row r="63" spans="1:12" ht="30.75" customHeight="1">
      <c r="A63" s="8"/>
      <c r="B63" s="64"/>
      <c r="C63" s="69"/>
      <c r="D63" s="16" t="s">
        <v>13</v>
      </c>
      <c r="E63" s="17">
        <f t="shared" si="11"/>
        <v>13110.79565</v>
      </c>
      <c r="F63" s="17">
        <v>13110.79565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1:12" ht="29.25" customHeight="1">
      <c r="A64" s="9"/>
      <c r="B64" s="64"/>
      <c r="C64" s="69"/>
      <c r="D64" s="16" t="s">
        <v>14</v>
      </c>
      <c r="E64" s="17">
        <f t="shared" si="11"/>
        <v>402064.4</v>
      </c>
      <c r="F64" s="17">
        <v>402064.4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</row>
    <row r="65" spans="1:12" ht="29.25" customHeight="1">
      <c r="A65" s="18"/>
      <c r="B65" s="22"/>
      <c r="C65" s="19" t="s">
        <v>53</v>
      </c>
      <c r="D65" s="16" t="s">
        <v>18</v>
      </c>
      <c r="E65" s="17">
        <f t="shared" si="11"/>
        <v>3700.7</v>
      </c>
      <c r="F65" s="17">
        <v>0</v>
      </c>
      <c r="G65" s="17">
        <v>0</v>
      </c>
      <c r="H65" s="17">
        <v>3700.7</v>
      </c>
      <c r="I65" s="17">
        <v>0</v>
      </c>
      <c r="J65" s="17">
        <v>0</v>
      </c>
      <c r="K65" s="17">
        <v>0</v>
      </c>
      <c r="L65" s="17">
        <v>0</v>
      </c>
    </row>
    <row r="66" spans="1:12" ht="29.25" customHeight="1">
      <c r="A66" s="18"/>
      <c r="B66" s="22"/>
      <c r="C66" s="19" t="s">
        <v>54</v>
      </c>
      <c r="D66" s="16" t="s">
        <v>18</v>
      </c>
      <c r="E66" s="17">
        <f t="shared" si="11"/>
        <v>8547.2</v>
      </c>
      <c r="F66" s="17">
        <f>8547.2</f>
        <v>8547.2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ht="29.25" customHeight="1">
      <c r="A67" s="18"/>
      <c r="B67" s="22"/>
      <c r="C67" s="19" t="s">
        <v>55</v>
      </c>
      <c r="D67" s="16" t="s">
        <v>18</v>
      </c>
      <c r="E67" s="17">
        <f t="shared" si="11"/>
        <v>8181.9</v>
      </c>
      <c r="F67" s="17">
        <v>0</v>
      </c>
      <c r="G67" s="17">
        <v>0</v>
      </c>
      <c r="H67" s="17">
        <f>8181.9</f>
        <v>8181.9</v>
      </c>
      <c r="I67" s="17">
        <v>0</v>
      </c>
      <c r="J67" s="17">
        <v>0</v>
      </c>
      <c r="K67" s="17">
        <v>0</v>
      </c>
      <c r="L67" s="17">
        <v>0</v>
      </c>
    </row>
    <row r="68" spans="1:12" ht="29.25" customHeight="1">
      <c r="A68" s="18"/>
      <c r="B68" s="22"/>
      <c r="C68" s="19" t="s">
        <v>56</v>
      </c>
      <c r="D68" s="16" t="s">
        <v>18</v>
      </c>
      <c r="E68" s="17">
        <f t="shared" si="11"/>
        <v>955453.1</v>
      </c>
      <c r="F68" s="17">
        <v>0</v>
      </c>
      <c r="G68" s="17">
        <v>0</v>
      </c>
      <c r="H68" s="17">
        <v>0</v>
      </c>
      <c r="I68" s="17">
        <v>450000</v>
      </c>
      <c r="J68" s="17">
        <v>505453.1</v>
      </c>
      <c r="K68" s="17">
        <v>0</v>
      </c>
      <c r="L68" s="17">
        <v>0</v>
      </c>
    </row>
    <row r="69" spans="1:12" ht="29.25" customHeight="1">
      <c r="A69" s="18"/>
      <c r="B69" s="22"/>
      <c r="C69" s="19" t="s">
        <v>57</v>
      </c>
      <c r="D69" s="16" t="s">
        <v>18</v>
      </c>
      <c r="E69" s="17">
        <f t="shared" si="11"/>
        <v>3980</v>
      </c>
      <c r="F69" s="17">
        <v>0</v>
      </c>
      <c r="G69" s="17">
        <v>3980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</row>
    <row r="70" spans="1:12" ht="30.75" customHeight="1">
      <c r="A70" s="9"/>
      <c r="B70" s="18"/>
      <c r="C70" s="19" t="s">
        <v>58</v>
      </c>
      <c r="D70" s="16" t="s">
        <v>18</v>
      </c>
      <c r="E70" s="17">
        <f t="shared" si="11"/>
        <v>26273.9</v>
      </c>
      <c r="F70" s="17">
        <v>0</v>
      </c>
      <c r="G70" s="17">
        <v>17554.03</v>
      </c>
      <c r="H70" s="17">
        <v>8719.87</v>
      </c>
      <c r="I70" s="17">
        <v>0</v>
      </c>
      <c r="J70" s="17">
        <v>0</v>
      </c>
      <c r="K70" s="17">
        <v>0</v>
      </c>
      <c r="L70" s="17">
        <v>0</v>
      </c>
    </row>
    <row r="71" spans="1:12" ht="29.25" customHeight="1">
      <c r="A71" s="8"/>
      <c r="B71" s="22"/>
      <c r="C71" s="19" t="s">
        <v>59</v>
      </c>
      <c r="D71" s="16" t="s">
        <v>18</v>
      </c>
      <c r="E71" s="17">
        <f t="shared" si="11"/>
        <v>13294.4</v>
      </c>
      <c r="F71" s="17">
        <v>0</v>
      </c>
      <c r="G71" s="17">
        <v>0</v>
      </c>
      <c r="H71" s="17">
        <v>13294.4</v>
      </c>
      <c r="I71" s="17">
        <v>0</v>
      </c>
      <c r="J71" s="17">
        <v>0</v>
      </c>
      <c r="K71" s="17">
        <v>0</v>
      </c>
      <c r="L71" s="17">
        <v>0</v>
      </c>
    </row>
    <row r="72" spans="1:12" ht="29.25" customHeight="1">
      <c r="A72" s="10"/>
      <c r="B72" s="22"/>
      <c r="C72" s="19" t="s">
        <v>60</v>
      </c>
      <c r="D72" s="16" t="s">
        <v>18</v>
      </c>
      <c r="E72" s="17">
        <f t="shared" si="11"/>
        <v>9474.8</v>
      </c>
      <c r="F72" s="17">
        <v>0</v>
      </c>
      <c r="G72" s="17">
        <v>1756</v>
      </c>
      <c r="H72" s="17">
        <v>0</v>
      </c>
      <c r="I72" s="17">
        <v>0</v>
      </c>
      <c r="J72" s="17">
        <v>0</v>
      </c>
      <c r="K72" s="17">
        <v>7718.8</v>
      </c>
      <c r="L72" s="17">
        <v>0</v>
      </c>
    </row>
    <row r="73" spans="1:12" ht="29.25" customHeight="1">
      <c r="A73" s="10"/>
      <c r="B73" s="22"/>
      <c r="C73" s="69" t="s">
        <v>61</v>
      </c>
      <c r="D73" s="14" t="s">
        <v>9</v>
      </c>
      <c r="E73" s="15">
        <f aca="true" t="shared" si="13" ref="E73:L73">E74+E75</f>
        <v>247956.64443999997</v>
      </c>
      <c r="F73" s="15">
        <f t="shared" si="13"/>
        <v>104839.33443999999</v>
      </c>
      <c r="G73" s="15">
        <f t="shared" si="13"/>
        <v>71558.655</v>
      </c>
      <c r="H73" s="15">
        <f t="shared" si="13"/>
        <v>71558.655</v>
      </c>
      <c r="I73" s="15">
        <f t="shared" si="13"/>
        <v>0</v>
      </c>
      <c r="J73" s="15">
        <f t="shared" si="13"/>
        <v>0</v>
      </c>
      <c r="K73" s="15">
        <f t="shared" si="13"/>
        <v>0</v>
      </c>
      <c r="L73" s="15">
        <f t="shared" si="13"/>
        <v>0</v>
      </c>
    </row>
    <row r="74" spans="1:12" ht="29.25" customHeight="1">
      <c r="A74" s="8"/>
      <c r="B74" s="10"/>
      <c r="C74" s="69"/>
      <c r="D74" s="16" t="s">
        <v>13</v>
      </c>
      <c r="E74" s="17">
        <f aca="true" t="shared" si="14" ref="E74:E121">F74+G74+H74+I74+J74+K74+L74</f>
        <v>201488.24443999998</v>
      </c>
      <c r="F74" s="17">
        <f>69830.9-0.02+35008.45444</f>
        <v>104839.33443999999</v>
      </c>
      <c r="G74" s="17">
        <f>47920.66+480.795</f>
        <v>48401.455</v>
      </c>
      <c r="H74" s="17">
        <f>47766.66+480.795</f>
        <v>48247.455</v>
      </c>
      <c r="I74" s="17">
        <v>0</v>
      </c>
      <c r="J74" s="17">
        <v>0</v>
      </c>
      <c r="K74" s="17">
        <v>0</v>
      </c>
      <c r="L74" s="17">
        <v>0</v>
      </c>
    </row>
    <row r="75" spans="1:12" ht="29.25" customHeight="1">
      <c r="A75" s="8"/>
      <c r="B75" s="10"/>
      <c r="C75" s="69"/>
      <c r="D75" s="16" t="s">
        <v>14</v>
      </c>
      <c r="E75" s="17">
        <f t="shared" si="14"/>
        <v>46468.4</v>
      </c>
      <c r="F75" s="17">
        <v>0</v>
      </c>
      <c r="G75" s="17">
        <v>23157.2</v>
      </c>
      <c r="H75" s="17">
        <v>23311.2</v>
      </c>
      <c r="I75" s="17">
        <v>0</v>
      </c>
      <c r="J75" s="17">
        <v>0</v>
      </c>
      <c r="K75" s="17">
        <v>0</v>
      </c>
      <c r="L75" s="17">
        <v>0</v>
      </c>
    </row>
    <row r="76" spans="1:12" ht="29.25" customHeight="1">
      <c r="A76" s="10"/>
      <c r="B76" s="22"/>
      <c r="C76" s="19" t="s">
        <v>62</v>
      </c>
      <c r="D76" s="16" t="s">
        <v>18</v>
      </c>
      <c r="E76" s="17">
        <f t="shared" si="14"/>
        <v>357181.9</v>
      </c>
      <c r="F76" s="17">
        <v>0</v>
      </c>
      <c r="G76" s="17">
        <v>0</v>
      </c>
      <c r="H76" s="17">
        <v>16208.2</v>
      </c>
      <c r="I76" s="17">
        <v>0</v>
      </c>
      <c r="J76" s="17">
        <v>0</v>
      </c>
      <c r="K76" s="17">
        <v>170000</v>
      </c>
      <c r="L76" s="17">
        <v>170973.7</v>
      </c>
    </row>
    <row r="77" spans="1:12" ht="29.25" customHeight="1">
      <c r="A77" s="10"/>
      <c r="B77" s="22"/>
      <c r="C77" s="19" t="s">
        <v>63</v>
      </c>
      <c r="D77" s="16" t="s">
        <v>18</v>
      </c>
      <c r="E77" s="17">
        <f t="shared" si="14"/>
        <v>30000</v>
      </c>
      <c r="F77" s="17">
        <v>30000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</row>
    <row r="78" spans="1:12" ht="29.25" customHeight="1">
      <c r="A78" s="10"/>
      <c r="B78" s="22"/>
      <c r="C78" s="69" t="s">
        <v>64</v>
      </c>
      <c r="D78" s="14" t="s">
        <v>9</v>
      </c>
      <c r="E78" s="15">
        <f t="shared" si="14"/>
        <v>251892.5</v>
      </c>
      <c r="F78" s="15">
        <f aca="true" t="shared" si="15" ref="F78:L78">F79+F80+F81</f>
        <v>5582</v>
      </c>
      <c r="G78" s="15">
        <f t="shared" si="15"/>
        <v>246310.5</v>
      </c>
      <c r="H78" s="15">
        <f t="shared" si="15"/>
        <v>0</v>
      </c>
      <c r="I78" s="15">
        <f t="shared" si="15"/>
        <v>0</v>
      </c>
      <c r="J78" s="15">
        <f t="shared" si="15"/>
        <v>0</v>
      </c>
      <c r="K78" s="15">
        <f t="shared" si="15"/>
        <v>0</v>
      </c>
      <c r="L78" s="15">
        <f t="shared" si="15"/>
        <v>0</v>
      </c>
    </row>
    <row r="79" spans="1:12" ht="29.25" customHeight="1">
      <c r="A79" s="10"/>
      <c r="B79" s="22"/>
      <c r="C79" s="69"/>
      <c r="D79" s="16" t="s">
        <v>18</v>
      </c>
      <c r="E79" s="17">
        <f t="shared" si="14"/>
        <v>5582</v>
      </c>
      <c r="F79" s="17">
        <f>5800.6-218.6</f>
        <v>5582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</row>
    <row r="80" spans="1:12" ht="29.25" customHeight="1">
      <c r="A80" s="10"/>
      <c r="B80" s="22"/>
      <c r="C80" s="69"/>
      <c r="D80" s="16" t="s">
        <v>13</v>
      </c>
      <c r="E80" s="17">
        <f t="shared" si="14"/>
        <v>2463.2</v>
      </c>
      <c r="F80" s="17">
        <v>0</v>
      </c>
      <c r="G80" s="17">
        <v>2463.2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</row>
    <row r="81" spans="1:12" ht="29.25" customHeight="1">
      <c r="A81" s="10"/>
      <c r="B81" s="22"/>
      <c r="C81" s="69"/>
      <c r="D81" s="16" t="s">
        <v>14</v>
      </c>
      <c r="E81" s="17">
        <f t="shared" si="14"/>
        <v>243847.3</v>
      </c>
      <c r="F81" s="17">
        <v>0</v>
      </c>
      <c r="G81" s="17">
        <v>243847.3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</row>
    <row r="82" spans="1:12" ht="41.25" customHeight="1">
      <c r="A82" s="10"/>
      <c r="B82" s="22"/>
      <c r="C82" s="19" t="s">
        <v>65</v>
      </c>
      <c r="D82" s="16" t="s">
        <v>18</v>
      </c>
      <c r="E82" s="17">
        <f t="shared" si="14"/>
        <v>51882</v>
      </c>
      <c r="F82" s="17">
        <v>0</v>
      </c>
      <c r="G82" s="17">
        <v>0</v>
      </c>
      <c r="H82" s="17">
        <f>57888.2-6006.2</f>
        <v>51882</v>
      </c>
      <c r="I82" s="17">
        <v>0</v>
      </c>
      <c r="J82" s="17">
        <v>0</v>
      </c>
      <c r="K82" s="17">
        <v>0</v>
      </c>
      <c r="L82" s="17">
        <v>0</v>
      </c>
    </row>
    <row r="83" spans="1:12" ht="41.25" customHeight="1">
      <c r="A83" s="10"/>
      <c r="B83" s="22"/>
      <c r="C83" s="19" t="s">
        <v>66</v>
      </c>
      <c r="D83" s="16" t="s">
        <v>18</v>
      </c>
      <c r="E83" s="17">
        <f t="shared" si="14"/>
        <v>1633</v>
      </c>
      <c r="F83" s="17">
        <v>0</v>
      </c>
      <c r="G83" s="17">
        <v>1633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</row>
    <row r="84" spans="1:12" ht="30">
      <c r="A84" s="18"/>
      <c r="B84" s="22"/>
      <c r="C84" s="19" t="s">
        <v>67</v>
      </c>
      <c r="D84" s="16" t="s">
        <v>18</v>
      </c>
      <c r="E84" s="17">
        <f t="shared" si="14"/>
        <v>8488</v>
      </c>
      <c r="F84" s="17">
        <f>8488-8487.6</f>
        <v>0.3999999999996362</v>
      </c>
      <c r="G84" s="17">
        <v>0</v>
      </c>
      <c r="H84" s="17">
        <v>8487.6</v>
      </c>
      <c r="I84" s="17">
        <v>0</v>
      </c>
      <c r="J84" s="17">
        <v>0</v>
      </c>
      <c r="K84" s="17">
        <v>0</v>
      </c>
      <c r="L84" s="17">
        <v>0</v>
      </c>
    </row>
    <row r="85" spans="1:12" ht="30">
      <c r="A85" s="18"/>
      <c r="B85" s="22"/>
      <c r="C85" s="19" t="s">
        <v>68</v>
      </c>
      <c r="D85" s="16" t="s">
        <v>18</v>
      </c>
      <c r="E85" s="17">
        <f t="shared" si="14"/>
        <v>2589.7999999999997</v>
      </c>
      <c r="F85" s="17">
        <f>2808.2-218.4</f>
        <v>2589.7999999999997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1:12" ht="30">
      <c r="A86" s="18"/>
      <c r="B86" s="22"/>
      <c r="C86" s="19" t="s">
        <v>69</v>
      </c>
      <c r="D86" s="16" t="s">
        <v>18</v>
      </c>
      <c r="E86" s="17">
        <f t="shared" si="14"/>
        <v>1197.4</v>
      </c>
      <c r="F86" s="17">
        <f>1197.4</f>
        <v>1197.4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</row>
    <row r="87" spans="1:12" ht="30">
      <c r="A87" s="18"/>
      <c r="B87" s="22"/>
      <c r="C87" s="19" t="s">
        <v>70</v>
      </c>
      <c r="D87" s="16" t="s">
        <v>18</v>
      </c>
      <c r="E87" s="17">
        <f t="shared" si="14"/>
        <v>1439</v>
      </c>
      <c r="F87" s="27">
        <f>2689.5-1250.5</f>
        <v>1439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</row>
    <row r="88" spans="1:12" ht="30">
      <c r="A88" s="18"/>
      <c r="B88" s="22"/>
      <c r="C88" s="19" t="s">
        <v>71</v>
      </c>
      <c r="D88" s="16" t="s">
        <v>18</v>
      </c>
      <c r="E88" s="17">
        <f t="shared" si="14"/>
        <v>22.382</v>
      </c>
      <c r="F88" s="17">
        <f>22.382</f>
        <v>22.382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</row>
    <row r="89" spans="1:12" ht="30">
      <c r="A89" s="18"/>
      <c r="B89" s="22"/>
      <c r="C89" s="19" t="s">
        <v>72</v>
      </c>
      <c r="D89" s="16" t="s">
        <v>18</v>
      </c>
      <c r="E89" s="17">
        <f t="shared" si="14"/>
        <v>76.17399999999999</v>
      </c>
      <c r="F89" s="17">
        <f>21.874+54.3</f>
        <v>76.17399999999999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ht="30">
      <c r="A90" s="18"/>
      <c r="B90" s="22"/>
      <c r="C90" s="19" t="s">
        <v>73</v>
      </c>
      <c r="D90" s="16" t="s">
        <v>18</v>
      </c>
      <c r="E90" s="17">
        <f t="shared" si="14"/>
        <v>26.755</v>
      </c>
      <c r="F90" s="17">
        <f>26.755</f>
        <v>26.755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</row>
    <row r="91" spans="1:12" ht="30">
      <c r="A91" s="18"/>
      <c r="B91" s="22"/>
      <c r="C91" s="19" t="s">
        <v>74</v>
      </c>
      <c r="D91" s="16" t="s">
        <v>18</v>
      </c>
      <c r="E91" s="17">
        <f t="shared" si="14"/>
        <v>251.28900000000002</v>
      </c>
      <c r="F91" s="17">
        <f>63.889+187.4</f>
        <v>251.28900000000002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</row>
    <row r="92" spans="1:12" ht="30">
      <c r="A92" s="18"/>
      <c r="B92" s="22"/>
      <c r="C92" s="19" t="s">
        <v>75</v>
      </c>
      <c r="D92" s="16" t="s">
        <v>18</v>
      </c>
      <c r="E92" s="17">
        <f t="shared" si="14"/>
        <v>229</v>
      </c>
      <c r="F92" s="17">
        <f>26.7+202.3</f>
        <v>229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</row>
    <row r="93" spans="1:12" ht="30">
      <c r="A93" s="18"/>
      <c r="B93" s="22"/>
      <c r="C93" s="19" t="s">
        <v>76</v>
      </c>
      <c r="D93" s="16" t="s">
        <v>18</v>
      </c>
      <c r="E93" s="17">
        <f t="shared" si="14"/>
        <v>6178.8</v>
      </c>
      <c r="F93" s="17">
        <f>6432.2-253.4</f>
        <v>6178.8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</row>
    <row r="94" spans="1:12" ht="30">
      <c r="A94" s="18"/>
      <c r="B94" s="22"/>
      <c r="C94" s="29" t="s">
        <v>77</v>
      </c>
      <c r="D94" s="16" t="s">
        <v>18</v>
      </c>
      <c r="E94" s="17">
        <f t="shared" si="14"/>
        <v>614.6</v>
      </c>
      <c r="F94" s="17">
        <f>614.6</f>
        <v>614.6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</row>
    <row r="95" spans="1:12" ht="30">
      <c r="A95" s="18"/>
      <c r="B95" s="22"/>
      <c r="C95" s="29" t="s">
        <v>78</v>
      </c>
      <c r="D95" s="16" t="s">
        <v>18</v>
      </c>
      <c r="E95" s="17">
        <f t="shared" si="14"/>
        <v>877.3</v>
      </c>
      <c r="F95" s="17">
        <v>877.3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</row>
    <row r="96" spans="1:12" ht="30">
      <c r="A96" s="18"/>
      <c r="B96" s="22"/>
      <c r="C96" s="30" t="s">
        <v>79</v>
      </c>
      <c r="D96" s="16" t="s">
        <v>18</v>
      </c>
      <c r="E96" s="17">
        <f t="shared" si="14"/>
        <v>598.9</v>
      </c>
      <c r="F96" s="17">
        <v>598.9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</row>
    <row r="97" spans="1:12" ht="30">
      <c r="A97" s="18"/>
      <c r="B97" s="22"/>
      <c r="C97" s="19" t="s">
        <v>80</v>
      </c>
      <c r="D97" s="16" t="s">
        <v>18</v>
      </c>
      <c r="E97" s="17">
        <f t="shared" si="14"/>
        <v>6063.3</v>
      </c>
      <c r="F97" s="17">
        <v>0</v>
      </c>
      <c r="G97" s="17">
        <v>0</v>
      </c>
      <c r="H97" s="17">
        <v>6063.3</v>
      </c>
      <c r="I97" s="17">
        <v>0</v>
      </c>
      <c r="J97" s="17">
        <v>0</v>
      </c>
      <c r="K97" s="17">
        <v>0</v>
      </c>
      <c r="L97" s="17">
        <v>0</v>
      </c>
    </row>
    <row r="98" spans="1:12" ht="30">
      <c r="A98" s="18"/>
      <c r="B98" s="22"/>
      <c r="C98" s="30" t="s">
        <v>81</v>
      </c>
      <c r="D98" s="16" t="s">
        <v>18</v>
      </c>
      <c r="E98" s="17">
        <f t="shared" si="14"/>
        <v>855.7</v>
      </c>
      <c r="F98" s="17">
        <v>855.7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</row>
    <row r="99" spans="1:12" ht="31.5" customHeight="1">
      <c r="A99" s="18"/>
      <c r="B99" s="22"/>
      <c r="C99" s="31" t="s">
        <v>82</v>
      </c>
      <c r="D99" s="16" t="s">
        <v>18</v>
      </c>
      <c r="E99" s="17">
        <f t="shared" si="14"/>
        <v>4648.8</v>
      </c>
      <c r="F99" s="17">
        <v>0</v>
      </c>
      <c r="G99" s="17">
        <v>4648.8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</row>
    <row r="100" spans="1:12" ht="15" customHeight="1">
      <c r="A100" s="62"/>
      <c r="B100" s="71" t="s">
        <v>83</v>
      </c>
      <c r="C100" s="67" t="s">
        <v>84</v>
      </c>
      <c r="D100" s="14" t="s">
        <v>9</v>
      </c>
      <c r="E100" s="15">
        <f t="shared" si="14"/>
        <v>1587232.2599999998</v>
      </c>
      <c r="F100" s="32">
        <f aca="true" t="shared" si="16" ref="F100:L100">F101+F102+F103</f>
        <v>173898.19999999998</v>
      </c>
      <c r="G100" s="32">
        <f t="shared" si="16"/>
        <v>195746.59999999998</v>
      </c>
      <c r="H100" s="32">
        <f t="shared" si="16"/>
        <v>80769.86</v>
      </c>
      <c r="I100" s="32">
        <f t="shared" si="16"/>
        <v>12697.1</v>
      </c>
      <c r="J100" s="32">
        <f t="shared" si="16"/>
        <v>373455.3</v>
      </c>
      <c r="K100" s="32">
        <f t="shared" si="16"/>
        <v>261953</v>
      </c>
      <c r="L100" s="32">
        <f t="shared" si="16"/>
        <v>488712.2</v>
      </c>
    </row>
    <row r="101" spans="1:12" ht="28.5">
      <c r="A101" s="62"/>
      <c r="B101" s="71"/>
      <c r="C101" s="67"/>
      <c r="D101" s="14" t="s">
        <v>12</v>
      </c>
      <c r="E101" s="15">
        <f t="shared" si="14"/>
        <v>1399374.22618</v>
      </c>
      <c r="F101" s="32">
        <f aca="true" t="shared" si="17" ref="F101:L101">F104+F105+F106+F107+F108+F109+F110+F111+F112+F113+F114+F115+F116+F117+F118+F120+F123+F125+F126+F131+F134+F137+F140+F142+F143+F144+F145+F146+F147+F128</f>
        <v>67040.16617999999</v>
      </c>
      <c r="G101" s="32">
        <f t="shared" si="17"/>
        <v>114746.59999999999</v>
      </c>
      <c r="H101" s="32">
        <f t="shared" si="17"/>
        <v>80769.86</v>
      </c>
      <c r="I101" s="32">
        <f t="shared" si="17"/>
        <v>12697.1</v>
      </c>
      <c r="J101" s="32">
        <f t="shared" si="17"/>
        <v>373455.3</v>
      </c>
      <c r="K101" s="32">
        <f t="shared" si="17"/>
        <v>261953</v>
      </c>
      <c r="L101" s="32">
        <f t="shared" si="17"/>
        <v>488712.2</v>
      </c>
    </row>
    <row r="102" spans="1:12" ht="42.75">
      <c r="A102" s="62"/>
      <c r="B102" s="71"/>
      <c r="C102" s="67"/>
      <c r="D102" s="14" t="s">
        <v>13</v>
      </c>
      <c r="E102" s="15">
        <f t="shared" si="14"/>
        <v>187858.03382</v>
      </c>
      <c r="F102" s="32">
        <f aca="true" t="shared" si="18" ref="F102:L102">F121+F124+F132+F135+F138+F141+F129</f>
        <v>106858.03382</v>
      </c>
      <c r="G102" s="32">
        <f t="shared" si="18"/>
        <v>81000</v>
      </c>
      <c r="H102" s="32">
        <f t="shared" si="18"/>
        <v>0</v>
      </c>
      <c r="I102" s="32">
        <f t="shared" si="18"/>
        <v>0</v>
      </c>
      <c r="J102" s="32">
        <f t="shared" si="18"/>
        <v>0</v>
      </c>
      <c r="K102" s="32">
        <f t="shared" si="18"/>
        <v>0</v>
      </c>
      <c r="L102" s="32">
        <f t="shared" si="18"/>
        <v>0</v>
      </c>
    </row>
    <row r="103" spans="1:12" ht="28.5">
      <c r="A103" s="62"/>
      <c r="B103" s="71"/>
      <c r="C103" s="67"/>
      <c r="D103" s="14" t="s">
        <v>14</v>
      </c>
      <c r="E103" s="15">
        <f t="shared" si="14"/>
        <v>0</v>
      </c>
      <c r="F103" s="33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</row>
    <row r="104" spans="1:12" ht="45">
      <c r="A104" s="8"/>
      <c r="B104" s="10"/>
      <c r="C104" s="20" t="s">
        <v>85</v>
      </c>
      <c r="D104" s="16" t="s">
        <v>18</v>
      </c>
      <c r="E104" s="17">
        <f t="shared" si="14"/>
        <v>3846.2</v>
      </c>
      <c r="F104" s="34">
        <v>846.2</v>
      </c>
      <c r="G104" s="17">
        <v>3000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</row>
    <row r="105" spans="1:12" ht="30">
      <c r="A105" s="8"/>
      <c r="B105" s="10"/>
      <c r="C105" s="20" t="s">
        <v>86</v>
      </c>
      <c r="D105" s="16" t="s">
        <v>18</v>
      </c>
      <c r="E105" s="17">
        <f t="shared" si="14"/>
        <v>54762.159999999996</v>
      </c>
      <c r="F105" s="34">
        <v>1083.3</v>
      </c>
      <c r="G105" s="17">
        <v>8161.3</v>
      </c>
      <c r="H105" s="17">
        <v>45517.56</v>
      </c>
      <c r="I105" s="17">
        <v>0</v>
      </c>
      <c r="J105" s="17">
        <v>0</v>
      </c>
      <c r="K105" s="17">
        <v>0</v>
      </c>
      <c r="L105" s="17">
        <v>0</v>
      </c>
    </row>
    <row r="106" spans="1:12" ht="44.25" customHeight="1">
      <c r="A106" s="9"/>
      <c r="B106" s="35"/>
      <c r="C106" s="19" t="s">
        <v>87</v>
      </c>
      <c r="D106" s="16" t="s">
        <v>18</v>
      </c>
      <c r="E106" s="17">
        <f t="shared" si="14"/>
        <v>520500.3</v>
      </c>
      <c r="F106" s="34">
        <v>1247.3</v>
      </c>
      <c r="G106" s="17">
        <v>7300</v>
      </c>
      <c r="H106" s="17">
        <v>0</v>
      </c>
      <c r="I106" s="17">
        <v>0</v>
      </c>
      <c r="J106" s="17">
        <v>250000</v>
      </c>
      <c r="K106" s="17">
        <v>261953</v>
      </c>
      <c r="L106" s="17">
        <v>0</v>
      </c>
    </row>
    <row r="107" spans="1:12" ht="30">
      <c r="A107" s="36"/>
      <c r="B107" s="10"/>
      <c r="C107" s="20" t="s">
        <v>88</v>
      </c>
      <c r="D107" s="16" t="s">
        <v>18</v>
      </c>
      <c r="E107" s="17">
        <f t="shared" si="14"/>
        <v>120201.6</v>
      </c>
      <c r="F107" s="34">
        <v>0</v>
      </c>
      <c r="G107" s="17">
        <f>8650</f>
        <v>8650</v>
      </c>
      <c r="H107" s="17">
        <v>0</v>
      </c>
      <c r="I107" s="17">
        <v>0</v>
      </c>
      <c r="J107" s="17">
        <v>0</v>
      </c>
      <c r="K107" s="17">
        <v>0</v>
      </c>
      <c r="L107" s="17">
        <v>111551.6</v>
      </c>
    </row>
    <row r="108" spans="1:12" ht="30">
      <c r="A108" s="36"/>
      <c r="B108" s="10"/>
      <c r="C108" s="37" t="s">
        <v>89</v>
      </c>
      <c r="D108" s="16" t="s">
        <v>18</v>
      </c>
      <c r="E108" s="17">
        <f t="shared" si="14"/>
        <v>269298.3</v>
      </c>
      <c r="F108" s="38">
        <f>44697.58-29697.58-4700-10000-300</f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269298.3</v>
      </c>
    </row>
    <row r="109" spans="1:12" ht="45">
      <c r="A109" s="36"/>
      <c r="B109" s="10"/>
      <c r="C109" s="19" t="s">
        <v>90</v>
      </c>
      <c r="D109" s="16" t="s">
        <v>18</v>
      </c>
      <c r="E109" s="17">
        <f t="shared" si="14"/>
        <v>27628</v>
      </c>
      <c r="F109" s="38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27628</v>
      </c>
    </row>
    <row r="110" spans="1:12" ht="30">
      <c r="A110" s="36"/>
      <c r="B110" s="10"/>
      <c r="C110" s="19" t="s">
        <v>91</v>
      </c>
      <c r="D110" s="16" t="s">
        <v>18</v>
      </c>
      <c r="E110" s="17">
        <f t="shared" si="14"/>
        <v>6629</v>
      </c>
      <c r="F110" s="34">
        <v>0</v>
      </c>
      <c r="G110" s="17">
        <v>0</v>
      </c>
      <c r="H110" s="17">
        <v>0</v>
      </c>
      <c r="I110" s="17">
        <v>6629</v>
      </c>
      <c r="J110" s="17">
        <v>0</v>
      </c>
      <c r="K110" s="17">
        <v>0</v>
      </c>
      <c r="L110" s="17">
        <v>0</v>
      </c>
    </row>
    <row r="111" spans="1:12" ht="30">
      <c r="A111" s="36"/>
      <c r="B111" s="10"/>
      <c r="C111" s="19" t="s">
        <v>92</v>
      </c>
      <c r="D111" s="16" t="s">
        <v>18</v>
      </c>
      <c r="E111" s="17">
        <f t="shared" si="14"/>
        <v>6068.1</v>
      </c>
      <c r="F111" s="34">
        <v>0</v>
      </c>
      <c r="G111" s="17">
        <v>0</v>
      </c>
      <c r="H111" s="17">
        <v>0</v>
      </c>
      <c r="I111" s="17">
        <v>6068.1</v>
      </c>
      <c r="J111" s="17">
        <v>0</v>
      </c>
      <c r="K111" s="17">
        <v>0</v>
      </c>
      <c r="L111" s="17">
        <v>0</v>
      </c>
    </row>
    <row r="112" spans="1:12" ht="45">
      <c r="A112" s="36"/>
      <c r="B112" s="10"/>
      <c r="C112" s="19" t="s">
        <v>93</v>
      </c>
      <c r="D112" s="16" t="s">
        <v>18</v>
      </c>
      <c r="E112" s="17">
        <f t="shared" si="14"/>
        <v>80234.3</v>
      </c>
      <c r="F112" s="34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80234.3</v>
      </c>
    </row>
    <row r="113" spans="1:12" ht="45">
      <c r="A113" s="36"/>
      <c r="B113" s="10"/>
      <c r="C113" s="19" t="s">
        <v>94</v>
      </c>
      <c r="D113" s="16" t="s">
        <v>18</v>
      </c>
      <c r="E113" s="17">
        <f t="shared" si="14"/>
        <v>4979.6</v>
      </c>
      <c r="F113" s="38">
        <v>0</v>
      </c>
      <c r="G113" s="17">
        <v>0</v>
      </c>
      <c r="H113" s="17">
        <v>4979.6</v>
      </c>
      <c r="I113" s="17">
        <v>0</v>
      </c>
      <c r="J113" s="17">
        <v>0</v>
      </c>
      <c r="K113" s="17">
        <v>0</v>
      </c>
      <c r="L113" s="17">
        <v>0</v>
      </c>
    </row>
    <row r="114" spans="1:12" ht="30">
      <c r="A114" s="36"/>
      <c r="B114" s="10"/>
      <c r="C114" s="19" t="s">
        <v>95</v>
      </c>
      <c r="D114" s="16" t="s">
        <v>18</v>
      </c>
      <c r="E114" s="34">
        <f t="shared" si="14"/>
        <v>11390.1</v>
      </c>
      <c r="F114" s="34">
        <v>0</v>
      </c>
      <c r="G114" s="17">
        <v>0</v>
      </c>
      <c r="H114" s="17">
        <v>11390.1</v>
      </c>
      <c r="I114" s="17">
        <v>0</v>
      </c>
      <c r="J114" s="17">
        <v>0</v>
      </c>
      <c r="K114" s="17">
        <v>0</v>
      </c>
      <c r="L114" s="17">
        <v>0</v>
      </c>
    </row>
    <row r="115" spans="1:12" ht="30">
      <c r="A115" s="8"/>
      <c r="B115" s="10"/>
      <c r="C115" s="19" t="s">
        <v>96</v>
      </c>
      <c r="D115" s="16" t="s">
        <v>18</v>
      </c>
      <c r="E115" s="34">
        <f t="shared" si="14"/>
        <v>112906.8</v>
      </c>
      <c r="F115" s="34">
        <v>0</v>
      </c>
      <c r="G115" s="17">
        <v>5837</v>
      </c>
      <c r="H115" s="17">
        <v>0</v>
      </c>
      <c r="I115" s="17">
        <v>0</v>
      </c>
      <c r="J115" s="17">
        <v>107069.8</v>
      </c>
      <c r="K115" s="17">
        <v>0</v>
      </c>
      <c r="L115" s="17">
        <v>0</v>
      </c>
    </row>
    <row r="116" spans="1:12" ht="49.5" customHeight="1">
      <c r="A116" s="8"/>
      <c r="B116" s="10"/>
      <c r="C116" s="19" t="s">
        <v>97</v>
      </c>
      <c r="D116" s="16" t="s">
        <v>18</v>
      </c>
      <c r="E116" s="34">
        <f t="shared" si="14"/>
        <v>13670.1</v>
      </c>
      <c r="F116" s="34">
        <v>0</v>
      </c>
      <c r="G116" s="17">
        <v>1500</v>
      </c>
      <c r="H116" s="17">
        <v>0</v>
      </c>
      <c r="I116" s="17">
        <v>0</v>
      </c>
      <c r="J116" s="17">
        <v>12170.1</v>
      </c>
      <c r="K116" s="17">
        <v>0</v>
      </c>
      <c r="L116" s="17">
        <v>0</v>
      </c>
    </row>
    <row r="117" spans="1:12" ht="45" customHeight="1">
      <c r="A117" s="8"/>
      <c r="B117" s="10"/>
      <c r="C117" s="19" t="s">
        <v>98</v>
      </c>
      <c r="D117" s="16" t="s">
        <v>18</v>
      </c>
      <c r="E117" s="34">
        <f t="shared" si="14"/>
        <v>5315.4</v>
      </c>
      <c r="F117" s="34">
        <v>0</v>
      </c>
      <c r="G117" s="17">
        <v>1100</v>
      </c>
      <c r="H117" s="17">
        <v>0</v>
      </c>
      <c r="I117" s="17">
        <v>0</v>
      </c>
      <c r="J117" s="17">
        <v>4215.4</v>
      </c>
      <c r="K117" s="17">
        <v>0</v>
      </c>
      <c r="L117" s="17">
        <v>0</v>
      </c>
    </row>
    <row r="118" spans="1:12" ht="45" customHeight="1">
      <c r="A118" s="8"/>
      <c r="B118" s="10"/>
      <c r="C118" s="19" t="s">
        <v>99</v>
      </c>
      <c r="D118" s="16" t="s">
        <v>18</v>
      </c>
      <c r="E118" s="17">
        <f t="shared" si="14"/>
        <v>16921.5</v>
      </c>
      <c r="F118" s="34">
        <v>0</v>
      </c>
      <c r="G118" s="17">
        <v>6921.5</v>
      </c>
      <c r="H118" s="17">
        <v>10000</v>
      </c>
      <c r="I118" s="17">
        <v>0</v>
      </c>
      <c r="J118" s="17">
        <v>0</v>
      </c>
      <c r="K118" s="17">
        <v>0</v>
      </c>
      <c r="L118" s="17">
        <v>0</v>
      </c>
    </row>
    <row r="119" spans="1:12" ht="30" customHeight="1">
      <c r="A119" s="8"/>
      <c r="B119" s="64"/>
      <c r="C119" s="69" t="s">
        <v>100</v>
      </c>
      <c r="D119" s="14" t="s">
        <v>9</v>
      </c>
      <c r="E119" s="17">
        <f t="shared" si="14"/>
        <v>22579.4</v>
      </c>
      <c r="F119" s="34">
        <f aca="true" t="shared" si="19" ref="F119:L119">F120+F121</f>
        <v>22579.4</v>
      </c>
      <c r="G119" s="17">
        <f t="shared" si="19"/>
        <v>0</v>
      </c>
      <c r="H119" s="17">
        <f t="shared" si="19"/>
        <v>0</v>
      </c>
      <c r="I119" s="17">
        <f t="shared" si="19"/>
        <v>0</v>
      </c>
      <c r="J119" s="17">
        <f t="shared" si="19"/>
        <v>0</v>
      </c>
      <c r="K119" s="17">
        <f t="shared" si="19"/>
        <v>0</v>
      </c>
      <c r="L119" s="17">
        <f t="shared" si="19"/>
        <v>0</v>
      </c>
    </row>
    <row r="120" spans="1:12" ht="36.75" customHeight="1">
      <c r="A120" s="8"/>
      <c r="B120" s="64"/>
      <c r="C120" s="69"/>
      <c r="D120" s="16" t="s">
        <v>18</v>
      </c>
      <c r="E120" s="17">
        <f t="shared" si="14"/>
        <v>9822.96618</v>
      </c>
      <c r="F120" s="34">
        <f>6431.4+1738-106.43382+1760</f>
        <v>9822.96618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</row>
    <row r="121" spans="1:12" ht="39.75" customHeight="1">
      <c r="A121" s="8"/>
      <c r="B121" s="64"/>
      <c r="C121" s="69"/>
      <c r="D121" s="16" t="s">
        <v>13</v>
      </c>
      <c r="E121" s="17">
        <f t="shared" si="14"/>
        <v>12756.43382</v>
      </c>
      <c r="F121" s="34">
        <f>12650+106.43382</f>
        <v>12756.43382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</row>
    <row r="122" spans="1:12" ht="39.75" customHeight="1">
      <c r="A122" s="8"/>
      <c r="B122" s="64"/>
      <c r="C122" s="69" t="s">
        <v>101</v>
      </c>
      <c r="D122" s="14" t="s">
        <v>9</v>
      </c>
      <c r="E122" s="17">
        <f aca="true" t="shared" si="20" ref="E122:L122">E123+E124</f>
        <v>29783.299999999996</v>
      </c>
      <c r="F122" s="34">
        <f t="shared" si="20"/>
        <v>29783.299999999996</v>
      </c>
      <c r="G122" s="17">
        <f t="shared" si="20"/>
        <v>0</v>
      </c>
      <c r="H122" s="17">
        <f t="shared" si="20"/>
        <v>0</v>
      </c>
      <c r="I122" s="17">
        <f t="shared" si="20"/>
        <v>0</v>
      </c>
      <c r="J122" s="17">
        <f t="shared" si="20"/>
        <v>0</v>
      </c>
      <c r="K122" s="17">
        <f t="shared" si="20"/>
        <v>0</v>
      </c>
      <c r="L122" s="17">
        <f t="shared" si="20"/>
        <v>0</v>
      </c>
    </row>
    <row r="123" spans="1:12" ht="36" customHeight="1">
      <c r="A123" s="8"/>
      <c r="B123" s="64"/>
      <c r="C123" s="69"/>
      <c r="D123" s="16" t="s">
        <v>18</v>
      </c>
      <c r="E123" s="17">
        <f aca="true" t="shared" si="21" ref="E123:E138">F123+G123+H123+I123+J123+K123+L123</f>
        <v>17181.699999999997</v>
      </c>
      <c r="F123" s="26">
        <f>19877.6-5400.7+5400.7-1760-935.9</f>
        <v>17181.699999999997</v>
      </c>
      <c r="G123" s="17">
        <f>5656.1-4648.8-585.8-421.5</f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f>1700-1700</f>
        <v>0</v>
      </c>
    </row>
    <row r="124" spans="1:12" ht="37.5" customHeight="1">
      <c r="A124" s="8"/>
      <c r="B124" s="64"/>
      <c r="C124" s="69"/>
      <c r="D124" s="16" t="s">
        <v>13</v>
      </c>
      <c r="E124" s="17">
        <f t="shared" si="21"/>
        <v>12601.6</v>
      </c>
      <c r="F124" s="34">
        <v>12601.6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</row>
    <row r="125" spans="1:12" ht="48" customHeight="1">
      <c r="A125" s="8"/>
      <c r="B125" s="10"/>
      <c r="C125" s="19" t="s">
        <v>102</v>
      </c>
      <c r="D125" s="16" t="s">
        <v>18</v>
      </c>
      <c r="E125" s="17">
        <f t="shared" si="21"/>
        <v>8882.6</v>
      </c>
      <c r="F125" s="17">
        <v>0</v>
      </c>
      <c r="G125" s="17">
        <v>0</v>
      </c>
      <c r="H125" s="17">
        <v>8882.6</v>
      </c>
      <c r="I125" s="17">
        <v>0</v>
      </c>
      <c r="J125" s="17">
        <v>0</v>
      </c>
      <c r="K125" s="17">
        <v>0</v>
      </c>
      <c r="L125" s="17">
        <v>0</v>
      </c>
    </row>
    <row r="126" spans="1:12" ht="48.75" customHeight="1">
      <c r="A126" s="36"/>
      <c r="B126" s="10"/>
      <c r="C126" s="19" t="s">
        <v>103</v>
      </c>
      <c r="D126" s="16" t="s">
        <v>18</v>
      </c>
      <c r="E126" s="17">
        <f t="shared" si="21"/>
        <v>2358.2</v>
      </c>
      <c r="F126" s="39">
        <v>0</v>
      </c>
      <c r="G126" s="17">
        <v>2358.2</v>
      </c>
      <c r="H126" s="17">
        <v>0</v>
      </c>
      <c r="I126" s="17">
        <v>0</v>
      </c>
      <c r="J126" s="17">
        <v>0</v>
      </c>
      <c r="K126" s="17">
        <v>0</v>
      </c>
      <c r="L126" s="17">
        <f>2290-2290</f>
        <v>0</v>
      </c>
    </row>
    <row r="127" spans="1:12" ht="48.75" customHeight="1">
      <c r="A127" s="36"/>
      <c r="B127" s="10"/>
      <c r="C127" s="69" t="s">
        <v>104</v>
      </c>
      <c r="D127" s="14" t="s">
        <v>9</v>
      </c>
      <c r="E127" s="17">
        <f t="shared" si="21"/>
        <v>83078.38</v>
      </c>
      <c r="F127" s="39">
        <f aca="true" t="shared" si="22" ref="F127:L127">F128+F129</f>
        <v>28115.93</v>
      </c>
      <c r="G127" s="17">
        <f t="shared" si="22"/>
        <v>54962.45</v>
      </c>
      <c r="H127" s="17">
        <f t="shared" si="22"/>
        <v>0</v>
      </c>
      <c r="I127" s="17">
        <f t="shared" si="22"/>
        <v>0</v>
      </c>
      <c r="J127" s="17">
        <f t="shared" si="22"/>
        <v>0</v>
      </c>
      <c r="K127" s="17">
        <f t="shared" si="22"/>
        <v>0</v>
      </c>
      <c r="L127" s="17">
        <f t="shared" si="22"/>
        <v>0</v>
      </c>
    </row>
    <row r="128" spans="1:12" ht="48.75" customHeight="1">
      <c r="A128" s="36"/>
      <c r="B128" s="10"/>
      <c r="C128" s="69"/>
      <c r="D128" s="16" t="s">
        <v>18</v>
      </c>
      <c r="E128" s="17">
        <f t="shared" si="21"/>
        <v>23467.07</v>
      </c>
      <c r="F128" s="40">
        <v>4590.59</v>
      </c>
      <c r="G128" s="41">
        <v>18876.48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</row>
    <row r="129" spans="1:12" ht="48.75" customHeight="1">
      <c r="A129" s="42"/>
      <c r="B129" s="10"/>
      <c r="C129" s="69"/>
      <c r="D129" s="16" t="s">
        <v>13</v>
      </c>
      <c r="E129" s="17">
        <f t="shared" si="21"/>
        <v>59611.31</v>
      </c>
      <c r="F129" s="40">
        <f>15000+8525.34</f>
        <v>23525.34</v>
      </c>
      <c r="G129" s="41">
        <v>36085.97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</row>
    <row r="130" spans="1:12" ht="31.5" customHeight="1">
      <c r="A130" s="36"/>
      <c r="B130" s="64"/>
      <c r="C130" s="72" t="s">
        <v>105</v>
      </c>
      <c r="D130" s="14" t="s">
        <v>9</v>
      </c>
      <c r="E130" s="17">
        <f t="shared" si="21"/>
        <v>46512.09</v>
      </c>
      <c r="F130" s="34">
        <f aca="true" t="shared" si="23" ref="F130:L130">F131+F132</f>
        <v>32416.379999999997</v>
      </c>
      <c r="G130" s="17">
        <f t="shared" si="23"/>
        <v>14095.71</v>
      </c>
      <c r="H130" s="17">
        <f t="shared" si="23"/>
        <v>0</v>
      </c>
      <c r="I130" s="17">
        <f t="shared" si="23"/>
        <v>0</v>
      </c>
      <c r="J130" s="17">
        <f t="shared" si="23"/>
        <v>0</v>
      </c>
      <c r="K130" s="17">
        <f t="shared" si="23"/>
        <v>0</v>
      </c>
      <c r="L130" s="17">
        <f t="shared" si="23"/>
        <v>0</v>
      </c>
    </row>
    <row r="131" spans="1:12" ht="26.25" customHeight="1">
      <c r="A131" s="36"/>
      <c r="B131" s="64"/>
      <c r="C131" s="72"/>
      <c r="D131" s="16" t="s">
        <v>18</v>
      </c>
      <c r="E131" s="17">
        <f t="shared" si="21"/>
        <v>16648.690000000002</v>
      </c>
      <c r="F131" s="38">
        <f>18733.16-11497.03+255.8+4020.07</f>
        <v>11512</v>
      </c>
      <c r="G131" s="26">
        <f>22817.8-13973.64+312.6-4020.07</f>
        <v>5136.6900000000005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</row>
    <row r="132" spans="1:12" ht="35.25" customHeight="1">
      <c r="A132" s="36"/>
      <c r="B132" s="64"/>
      <c r="C132" s="72"/>
      <c r="D132" s="16" t="s">
        <v>13</v>
      </c>
      <c r="E132" s="17">
        <f t="shared" si="21"/>
        <v>29863.399999999994</v>
      </c>
      <c r="F132" s="38">
        <f>34790.1-21351.57+7465.85</f>
        <v>20904.379999999997</v>
      </c>
      <c r="G132" s="26">
        <f>42376-25951.13-7465.85</f>
        <v>8959.019999999999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</row>
    <row r="133" spans="1:12" ht="30" customHeight="1">
      <c r="A133" s="36"/>
      <c r="B133" s="64"/>
      <c r="C133" s="74" t="s">
        <v>106</v>
      </c>
      <c r="D133" s="14" t="s">
        <v>9</v>
      </c>
      <c r="E133" s="17">
        <f t="shared" si="21"/>
        <v>19261.9</v>
      </c>
      <c r="F133" s="38">
        <f aca="true" t="shared" si="24" ref="F133:L133">F134+F135</f>
        <v>8668.35</v>
      </c>
      <c r="G133" s="39">
        <f t="shared" si="24"/>
        <v>10593.550000000001</v>
      </c>
      <c r="H133" s="39">
        <f t="shared" si="24"/>
        <v>0</v>
      </c>
      <c r="I133" s="39">
        <f t="shared" si="24"/>
        <v>0</v>
      </c>
      <c r="J133" s="39">
        <f t="shared" si="24"/>
        <v>0</v>
      </c>
      <c r="K133" s="39">
        <f t="shared" si="24"/>
        <v>0</v>
      </c>
      <c r="L133" s="39">
        <f t="shared" si="24"/>
        <v>0</v>
      </c>
    </row>
    <row r="134" spans="1:12" ht="26.25" customHeight="1">
      <c r="A134" s="36"/>
      <c r="B134" s="64"/>
      <c r="C134" s="74"/>
      <c r="D134" s="16" t="s">
        <v>18</v>
      </c>
      <c r="E134" s="17">
        <f t="shared" si="21"/>
        <v>6870.950000000001</v>
      </c>
      <c r="F134" s="38">
        <f>1627.23+1375.19+90</f>
        <v>3092.42</v>
      </c>
      <c r="G134" s="17">
        <f>1982.1+1687.53+108.9</f>
        <v>3778.53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</row>
    <row r="135" spans="1:12" ht="27.75" customHeight="1">
      <c r="A135" s="36"/>
      <c r="B135" s="64"/>
      <c r="C135" s="74"/>
      <c r="D135" s="16" t="s">
        <v>13</v>
      </c>
      <c r="E135" s="17">
        <f t="shared" si="21"/>
        <v>12390.95</v>
      </c>
      <c r="F135" s="38">
        <f>3022+2553.93</f>
        <v>5575.93</v>
      </c>
      <c r="G135" s="17">
        <f>3681+3134.02</f>
        <v>6815.02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</row>
    <row r="136" spans="1:12" ht="27.75" customHeight="1">
      <c r="A136" s="36"/>
      <c r="B136" s="64"/>
      <c r="C136" s="74" t="s">
        <v>107</v>
      </c>
      <c r="D136" s="14" t="s">
        <v>9</v>
      </c>
      <c r="E136" s="17">
        <f t="shared" si="21"/>
        <v>67774.44</v>
      </c>
      <c r="F136" s="38">
        <f aca="true" t="shared" si="25" ref="F136:L136">F137+F138</f>
        <v>30497.840000000004</v>
      </c>
      <c r="G136" s="39">
        <f t="shared" si="25"/>
        <v>37276.6</v>
      </c>
      <c r="H136" s="39">
        <f t="shared" si="25"/>
        <v>0</v>
      </c>
      <c r="I136" s="39">
        <f t="shared" si="25"/>
        <v>0</v>
      </c>
      <c r="J136" s="39">
        <f t="shared" si="25"/>
        <v>0</v>
      </c>
      <c r="K136" s="39">
        <f t="shared" si="25"/>
        <v>0</v>
      </c>
      <c r="L136" s="39">
        <f t="shared" si="25"/>
        <v>0</v>
      </c>
    </row>
    <row r="137" spans="1:12" ht="27.75" customHeight="1">
      <c r="A137" s="36"/>
      <c r="B137" s="64"/>
      <c r="C137" s="74"/>
      <c r="D137" s="16" t="s">
        <v>18</v>
      </c>
      <c r="E137" s="17">
        <f t="shared" si="21"/>
        <v>24198.67</v>
      </c>
      <c r="F137" s="44">
        <f>15447.31+10121.84-6399.75+330-4020.07-4590.59</f>
        <v>10888.740000000002</v>
      </c>
      <c r="G137" s="26">
        <f>18815.5+12286.11-7821.45+404.8-10375.03</f>
        <v>13309.929999999998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</row>
    <row r="138" spans="1:12" ht="27.75" customHeight="1">
      <c r="A138" s="36"/>
      <c r="B138" s="64"/>
      <c r="C138" s="74"/>
      <c r="D138" s="16" t="s">
        <v>13</v>
      </c>
      <c r="E138" s="17">
        <f t="shared" si="21"/>
        <v>43575.770000000004</v>
      </c>
      <c r="F138" s="44">
        <f>28687.9+18797.64-11885.25-7465.85-8525.34</f>
        <v>19609.100000000002</v>
      </c>
      <c r="G138" s="26">
        <f>34943+22817.11-14525.55-19267.89</f>
        <v>23966.67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</row>
    <row r="139" spans="1:12" ht="27.75" customHeight="1">
      <c r="A139" s="36"/>
      <c r="B139" s="64"/>
      <c r="C139" s="72" t="s">
        <v>108</v>
      </c>
      <c r="D139" s="14" t="s">
        <v>9</v>
      </c>
      <c r="E139" s="17">
        <f aca="true" t="shared" si="26" ref="E139:L139">E140+E141</f>
        <v>27152.69</v>
      </c>
      <c r="F139" s="34">
        <f t="shared" si="26"/>
        <v>18526.7</v>
      </c>
      <c r="G139" s="17">
        <f t="shared" si="26"/>
        <v>8625.99</v>
      </c>
      <c r="H139" s="17">
        <f t="shared" si="26"/>
        <v>0</v>
      </c>
      <c r="I139" s="17">
        <f t="shared" si="26"/>
        <v>0</v>
      </c>
      <c r="J139" s="17">
        <f t="shared" si="26"/>
        <v>0</v>
      </c>
      <c r="K139" s="17">
        <f t="shared" si="26"/>
        <v>0</v>
      </c>
      <c r="L139" s="17">
        <f t="shared" si="26"/>
        <v>0</v>
      </c>
    </row>
    <row r="140" spans="1:12" ht="36.75" customHeight="1">
      <c r="A140" s="36"/>
      <c r="B140" s="64"/>
      <c r="C140" s="72"/>
      <c r="D140" s="16" t="s">
        <v>18</v>
      </c>
      <c r="E140" s="17">
        <f aca="true" t="shared" si="27" ref="E140:E147">SUM(F140:L140)</f>
        <v>10094.119999999999</v>
      </c>
      <c r="F140" s="38">
        <f>6399.75+241.7</f>
        <v>6641.45</v>
      </c>
      <c r="G140" s="26">
        <f>7821.45+112.6-4481.38</f>
        <v>3452.67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</row>
    <row r="141" spans="1:12" ht="36.75" customHeight="1">
      <c r="A141" s="36"/>
      <c r="B141" s="64"/>
      <c r="C141" s="72"/>
      <c r="D141" s="16" t="s">
        <v>13</v>
      </c>
      <c r="E141" s="17">
        <f t="shared" si="27"/>
        <v>17058.57</v>
      </c>
      <c r="F141" s="38">
        <v>11885.25</v>
      </c>
      <c r="G141" s="26">
        <f>14525.55-9352.23</f>
        <v>5173.32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</row>
    <row r="142" spans="1:12" ht="39.75" customHeight="1">
      <c r="A142" s="36" t="s">
        <v>109</v>
      </c>
      <c r="B142" s="45"/>
      <c r="C142" s="43" t="s">
        <v>110</v>
      </c>
      <c r="D142" s="16" t="s">
        <v>18</v>
      </c>
      <c r="E142" s="17">
        <f t="shared" si="27"/>
        <v>4746.7</v>
      </c>
      <c r="F142" s="38">
        <v>0</v>
      </c>
      <c r="G142" s="17">
        <f>4739.2+7.5</f>
        <v>4746.7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</row>
    <row r="143" spans="1:12" ht="43.5" customHeight="1">
      <c r="A143" s="36"/>
      <c r="B143" s="45"/>
      <c r="C143" s="43" t="s">
        <v>111</v>
      </c>
      <c r="D143" s="16" t="s">
        <v>18</v>
      </c>
      <c r="E143" s="17">
        <f t="shared" si="27"/>
        <v>2290.3</v>
      </c>
      <c r="F143" s="39">
        <v>0</v>
      </c>
      <c r="G143" s="17">
        <f>2311.4-21.1</f>
        <v>2290.3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</row>
    <row r="144" spans="1:12" ht="35.25" customHeight="1">
      <c r="A144" s="36"/>
      <c r="B144" s="45"/>
      <c r="C144" s="43" t="s">
        <v>109</v>
      </c>
      <c r="D144" s="16" t="s">
        <v>18</v>
      </c>
      <c r="E144" s="17">
        <f t="shared" si="27"/>
        <v>4997.3</v>
      </c>
      <c r="F144" s="39">
        <v>0</v>
      </c>
      <c r="G144" s="17">
        <f>5501.1-503.8</f>
        <v>4997.3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</row>
    <row r="145" spans="1:12" ht="35.25" customHeight="1">
      <c r="A145" s="36"/>
      <c r="B145" s="45"/>
      <c r="C145" s="46" t="s">
        <v>112</v>
      </c>
      <c r="D145" s="16" t="s">
        <v>18</v>
      </c>
      <c r="E145" s="17">
        <f t="shared" si="27"/>
        <v>13330</v>
      </c>
      <c r="F145" s="39">
        <v>0</v>
      </c>
      <c r="G145" s="17">
        <v>13330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</row>
    <row r="146" spans="1:12" ht="35.25" customHeight="1">
      <c r="A146" s="36"/>
      <c r="B146" s="45"/>
      <c r="C146" s="46" t="s">
        <v>113</v>
      </c>
      <c r="D146" s="16" t="s">
        <v>18</v>
      </c>
      <c r="E146" s="17">
        <f t="shared" si="27"/>
        <v>39.8</v>
      </c>
      <c r="F146" s="38">
        <f>23.5+16.3</f>
        <v>39.8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</row>
    <row r="147" spans="1:12" ht="35.25" customHeight="1">
      <c r="A147" s="36"/>
      <c r="B147" s="45" t="s">
        <v>114</v>
      </c>
      <c r="C147" s="46" t="s">
        <v>115</v>
      </c>
      <c r="D147" s="16" t="s">
        <v>18</v>
      </c>
      <c r="E147" s="17">
        <f t="shared" si="27"/>
        <v>93.7</v>
      </c>
      <c r="F147" s="38">
        <v>93.7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</row>
    <row r="148" spans="1:12" ht="15" customHeight="1">
      <c r="A148" s="63"/>
      <c r="B148" s="73" t="s">
        <v>116</v>
      </c>
      <c r="C148" s="67" t="s">
        <v>117</v>
      </c>
      <c r="D148" s="14" t="s">
        <v>9</v>
      </c>
      <c r="E148" s="15">
        <f aca="true" t="shared" si="28" ref="E148:E161">F148+G148+H148+I148+J148+K148+L148</f>
        <v>590086.5</v>
      </c>
      <c r="F148" s="15">
        <f aca="true" t="shared" si="29" ref="F148:L148">F149+F150</f>
        <v>87263.4</v>
      </c>
      <c r="G148" s="15">
        <f t="shared" si="29"/>
        <v>88799.9</v>
      </c>
      <c r="H148" s="15">
        <f t="shared" si="29"/>
        <v>91900</v>
      </c>
      <c r="I148" s="15">
        <f t="shared" si="29"/>
        <v>80530.79999999999</v>
      </c>
      <c r="J148" s="15">
        <f t="shared" si="29"/>
        <v>80530.79999999999</v>
      </c>
      <c r="K148" s="15">
        <f t="shared" si="29"/>
        <v>80530.79999999999</v>
      </c>
      <c r="L148" s="15">
        <f t="shared" si="29"/>
        <v>80530.79999999999</v>
      </c>
    </row>
    <row r="149" spans="1:12" ht="28.5">
      <c r="A149" s="63"/>
      <c r="B149" s="73"/>
      <c r="C149" s="67"/>
      <c r="D149" s="14" t="s">
        <v>12</v>
      </c>
      <c r="E149" s="15">
        <f t="shared" si="28"/>
        <v>589927.2</v>
      </c>
      <c r="F149" s="32">
        <f>F151+F152+F153+F155+F157+F158+F159+F160+F161</f>
        <v>87210.29999999999</v>
      </c>
      <c r="G149" s="32">
        <f aca="true" t="shared" si="30" ref="G149:L149">G151+G152+G153+G155</f>
        <v>88746.79999999999</v>
      </c>
      <c r="H149" s="32">
        <f t="shared" si="30"/>
        <v>91846.9</v>
      </c>
      <c r="I149" s="32">
        <f t="shared" si="30"/>
        <v>80530.79999999999</v>
      </c>
      <c r="J149" s="32">
        <f t="shared" si="30"/>
        <v>80530.79999999999</v>
      </c>
      <c r="K149" s="32">
        <f t="shared" si="30"/>
        <v>80530.79999999999</v>
      </c>
      <c r="L149" s="32">
        <f t="shared" si="30"/>
        <v>80530.79999999999</v>
      </c>
    </row>
    <row r="150" spans="1:12" ht="42.75">
      <c r="A150" s="9"/>
      <c r="B150" s="47"/>
      <c r="C150" s="67"/>
      <c r="D150" s="14" t="s">
        <v>13</v>
      </c>
      <c r="E150" s="15">
        <f t="shared" si="28"/>
        <v>159.3</v>
      </c>
      <c r="F150" s="32">
        <f aca="true" t="shared" si="31" ref="F150:L150">F156</f>
        <v>53.1</v>
      </c>
      <c r="G150" s="32">
        <f t="shared" si="31"/>
        <v>53.1</v>
      </c>
      <c r="H150" s="32">
        <f t="shared" si="31"/>
        <v>53.1</v>
      </c>
      <c r="I150" s="32">
        <f t="shared" si="31"/>
        <v>0</v>
      </c>
      <c r="J150" s="32">
        <f t="shared" si="31"/>
        <v>0</v>
      </c>
      <c r="K150" s="32">
        <f t="shared" si="31"/>
        <v>0</v>
      </c>
      <c r="L150" s="32">
        <f t="shared" si="31"/>
        <v>0</v>
      </c>
    </row>
    <row r="151" spans="1:12" ht="30" customHeight="1">
      <c r="A151" s="9"/>
      <c r="B151" s="35"/>
      <c r="C151" s="19" t="s">
        <v>118</v>
      </c>
      <c r="D151" s="16" t="s">
        <v>18</v>
      </c>
      <c r="E151" s="17">
        <f t="shared" si="28"/>
        <v>152418.99999999997</v>
      </c>
      <c r="F151" s="27">
        <f>21074.9+160+60+84.6</f>
        <v>21379.5</v>
      </c>
      <c r="G151" s="17">
        <v>21713.7</v>
      </c>
      <c r="H151" s="17">
        <v>22520.2</v>
      </c>
      <c r="I151" s="17">
        <v>21701.4</v>
      </c>
      <c r="J151" s="17">
        <v>21701.4</v>
      </c>
      <c r="K151" s="17">
        <v>21701.4</v>
      </c>
      <c r="L151" s="17">
        <v>21701.4</v>
      </c>
    </row>
    <row r="152" spans="1:12" ht="29.25" customHeight="1">
      <c r="A152" s="9"/>
      <c r="B152" s="35"/>
      <c r="C152" s="19" t="s">
        <v>119</v>
      </c>
      <c r="D152" s="16" t="s">
        <v>18</v>
      </c>
      <c r="E152" s="17">
        <f t="shared" si="28"/>
        <v>14870.3</v>
      </c>
      <c r="F152" s="17">
        <f>5500-270-1359.7</f>
        <v>3870.3</v>
      </c>
      <c r="G152" s="17">
        <v>5500</v>
      </c>
      <c r="H152" s="17">
        <v>5500</v>
      </c>
      <c r="I152" s="17">
        <v>0</v>
      </c>
      <c r="J152" s="17">
        <v>0</v>
      </c>
      <c r="K152" s="17">
        <v>0</v>
      </c>
      <c r="L152" s="17">
        <v>0</v>
      </c>
    </row>
    <row r="153" spans="1:12" ht="33.75" customHeight="1">
      <c r="A153" s="9"/>
      <c r="B153" s="35"/>
      <c r="C153" s="19" t="s">
        <v>120</v>
      </c>
      <c r="D153" s="16" t="s">
        <v>18</v>
      </c>
      <c r="E153" s="17">
        <f t="shared" si="28"/>
        <v>339379.7</v>
      </c>
      <c r="F153" s="17">
        <f>48889.4-3.3</f>
        <v>48886.1</v>
      </c>
      <c r="G153" s="17">
        <v>50404.5</v>
      </c>
      <c r="H153" s="17">
        <v>52323.1</v>
      </c>
      <c r="I153" s="17">
        <v>46941.5</v>
      </c>
      <c r="J153" s="17">
        <v>46941.5</v>
      </c>
      <c r="K153" s="17">
        <v>46941.5</v>
      </c>
      <c r="L153" s="17">
        <v>46941.5</v>
      </c>
    </row>
    <row r="154" spans="1:12" ht="33.75" customHeight="1">
      <c r="A154" s="9"/>
      <c r="B154" s="64"/>
      <c r="C154" s="69" t="s">
        <v>121</v>
      </c>
      <c r="D154" s="14" t="s">
        <v>9</v>
      </c>
      <c r="E154" s="17">
        <f t="shared" si="28"/>
        <v>81529.09999999999</v>
      </c>
      <c r="F154" s="17">
        <f aca="true" t="shared" si="32" ref="F154:L154">F155+F156</f>
        <v>11239.1</v>
      </c>
      <c r="G154" s="17">
        <f t="shared" si="32"/>
        <v>11181.699999999999</v>
      </c>
      <c r="H154" s="17">
        <f t="shared" si="32"/>
        <v>11556.699999999999</v>
      </c>
      <c r="I154" s="17">
        <f t="shared" si="32"/>
        <v>11887.9</v>
      </c>
      <c r="J154" s="17">
        <f t="shared" si="32"/>
        <v>11887.9</v>
      </c>
      <c r="K154" s="17">
        <f t="shared" si="32"/>
        <v>11887.9</v>
      </c>
      <c r="L154" s="17">
        <f t="shared" si="32"/>
        <v>11887.9</v>
      </c>
    </row>
    <row r="155" spans="1:12" ht="33.75" customHeight="1">
      <c r="A155" s="9"/>
      <c r="B155" s="64"/>
      <c r="C155" s="69"/>
      <c r="D155" s="16" t="s">
        <v>18</v>
      </c>
      <c r="E155" s="17">
        <f t="shared" si="28"/>
        <v>81369.79999999999</v>
      </c>
      <c r="F155" s="48">
        <f>10833+358.5-5.5</f>
        <v>11186</v>
      </c>
      <c r="G155" s="48">
        <f>11125.8+2.8</f>
        <v>11128.599999999999</v>
      </c>
      <c r="H155" s="48">
        <f>11500.8+2.8</f>
        <v>11503.599999999999</v>
      </c>
      <c r="I155" s="48">
        <v>11887.9</v>
      </c>
      <c r="J155" s="48">
        <v>11887.9</v>
      </c>
      <c r="K155" s="48">
        <v>11887.9</v>
      </c>
      <c r="L155" s="48">
        <v>11887.9</v>
      </c>
    </row>
    <row r="156" spans="1:12" ht="47.25" customHeight="1">
      <c r="A156" s="9"/>
      <c r="B156" s="64"/>
      <c r="C156" s="69"/>
      <c r="D156" s="16" t="s">
        <v>13</v>
      </c>
      <c r="E156" s="17">
        <f t="shared" si="28"/>
        <v>159.3</v>
      </c>
      <c r="F156" s="48">
        <v>53.1</v>
      </c>
      <c r="G156" s="48">
        <v>53.1</v>
      </c>
      <c r="H156" s="48">
        <v>53.1</v>
      </c>
      <c r="I156" s="17">
        <v>0</v>
      </c>
      <c r="J156" s="17">
        <v>0</v>
      </c>
      <c r="K156" s="17">
        <v>0</v>
      </c>
      <c r="L156" s="17">
        <v>0</v>
      </c>
    </row>
    <row r="157" spans="1:12" s="51" customFormat="1" ht="31.5" customHeight="1">
      <c r="A157" s="49"/>
      <c r="B157" s="18"/>
      <c r="C157" s="50" t="s">
        <v>122</v>
      </c>
      <c r="D157" s="16" t="s">
        <v>18</v>
      </c>
      <c r="E157" s="17">
        <f t="shared" si="28"/>
        <v>258.7</v>
      </c>
      <c r="F157" s="48">
        <v>258.7</v>
      </c>
      <c r="G157" s="48">
        <v>0</v>
      </c>
      <c r="H157" s="48">
        <v>0</v>
      </c>
      <c r="I157" s="17">
        <v>0</v>
      </c>
      <c r="J157" s="17">
        <v>0</v>
      </c>
      <c r="K157" s="17">
        <v>0</v>
      </c>
      <c r="L157" s="17">
        <v>0</v>
      </c>
    </row>
    <row r="158" spans="1:12" ht="36" customHeight="1">
      <c r="A158" s="52"/>
      <c r="B158" s="53"/>
      <c r="C158" s="54" t="s">
        <v>123</v>
      </c>
      <c r="D158" s="16" t="s">
        <v>18</v>
      </c>
      <c r="E158" s="17">
        <f t="shared" si="28"/>
        <v>270</v>
      </c>
      <c r="F158" s="24">
        <v>270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spans="1:12" ht="30">
      <c r="A159" s="4"/>
      <c r="B159" s="53"/>
      <c r="C159" s="22" t="s">
        <v>124</v>
      </c>
      <c r="D159" s="16" t="s">
        <v>18</v>
      </c>
      <c r="E159" s="17">
        <f t="shared" si="28"/>
        <v>100</v>
      </c>
      <c r="F159" s="24">
        <v>100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</row>
    <row r="160" spans="1:12" ht="45.75">
      <c r="A160" s="55"/>
      <c r="B160" s="56"/>
      <c r="C160" s="57" t="s">
        <v>125</v>
      </c>
      <c r="D160" s="16" t="s">
        <v>18</v>
      </c>
      <c r="E160" s="17">
        <f t="shared" si="28"/>
        <v>843.3</v>
      </c>
      <c r="F160" s="24">
        <v>843.3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</row>
    <row r="161" spans="2:12" ht="45">
      <c r="B161" s="58"/>
      <c r="C161" s="57" t="s">
        <v>126</v>
      </c>
      <c r="D161" s="16" t="s">
        <v>18</v>
      </c>
      <c r="E161" s="17">
        <f t="shared" si="28"/>
        <v>416.4</v>
      </c>
      <c r="F161" s="24">
        <v>416.4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</row>
  </sheetData>
  <sheetProtection selectLockedCells="1" selectUnlockedCells="1"/>
  <mergeCells count="53">
    <mergeCell ref="A148:A149"/>
    <mergeCell ref="B148:B149"/>
    <mergeCell ref="C148:C150"/>
    <mergeCell ref="B154:B156"/>
    <mergeCell ref="C154:C156"/>
    <mergeCell ref="B133:B135"/>
    <mergeCell ref="C133:C135"/>
    <mergeCell ref="B136:B138"/>
    <mergeCell ref="C136:C138"/>
    <mergeCell ref="B139:B141"/>
    <mergeCell ref="C139:C141"/>
    <mergeCell ref="B119:B121"/>
    <mergeCell ref="C119:C121"/>
    <mergeCell ref="B122:B124"/>
    <mergeCell ref="C122:C124"/>
    <mergeCell ref="C127:C129"/>
    <mergeCell ref="B130:B132"/>
    <mergeCell ref="C130:C132"/>
    <mergeCell ref="B61:B64"/>
    <mergeCell ref="C61:C64"/>
    <mergeCell ref="C73:C75"/>
    <mergeCell ref="C78:C81"/>
    <mergeCell ref="A100:A103"/>
    <mergeCell ref="B100:B103"/>
    <mergeCell ref="C100:C103"/>
    <mergeCell ref="A50:A53"/>
    <mergeCell ref="B50:B53"/>
    <mergeCell ref="C50:C53"/>
    <mergeCell ref="B54:B57"/>
    <mergeCell ref="C54:C57"/>
    <mergeCell ref="B58:B60"/>
    <mergeCell ref="C58:C60"/>
    <mergeCell ref="A12:A15"/>
    <mergeCell ref="B12:B15"/>
    <mergeCell ref="C12:C15"/>
    <mergeCell ref="B33:B35"/>
    <mergeCell ref="C33:C35"/>
    <mergeCell ref="B38:B40"/>
    <mergeCell ref="C38:C40"/>
    <mergeCell ref="A5:A6"/>
    <mergeCell ref="B5:B6"/>
    <mergeCell ref="C5:C6"/>
    <mergeCell ref="D5:D6"/>
    <mergeCell ref="E5:L5"/>
    <mergeCell ref="A8:A11"/>
    <mergeCell ref="B8:B11"/>
    <mergeCell ref="C8:C11"/>
    <mergeCell ref="I1:J1"/>
    <mergeCell ref="K1:L1"/>
    <mergeCell ref="I2:L2"/>
    <mergeCell ref="A3:L3"/>
    <mergeCell ref="A4:C4"/>
    <mergeCell ref="D4:L4"/>
  </mergeCells>
  <printOptions/>
  <pageMargins left="0.39375" right="0.39375" top="0.9451388888888889" bottom="0.5513888888888889" header="0.5118055555555555" footer="0.5118055555555555"/>
  <pageSetup horizontalDpi="300" verticalDpi="300" orientation="landscape" paperSize="9" scale="52" r:id="rId1"/>
  <rowBreaks count="2" manualBreakCount="2">
    <brk id="93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2020-10-28T07:47:44Z</cp:lastPrinted>
  <dcterms:created xsi:type="dcterms:W3CDTF">2006-09-28T02:33:49Z</dcterms:created>
  <dcterms:modified xsi:type="dcterms:W3CDTF">2020-12-02T06:44:56Z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