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'лист1'!$15:$17</definedName>
    <definedName name="_xlnm.Print_Area" localSheetId="0">'лист1'!$A$1:$Q$300</definedName>
  </definedNames>
  <calcPr fullCalcOnLoad="1"/>
</workbook>
</file>

<file path=xl/sharedStrings.xml><?xml version="1.0" encoding="utf-8"?>
<sst xmlns="http://schemas.openxmlformats.org/spreadsheetml/2006/main" count="2587" uniqueCount="268">
  <si>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</si>
  <si>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</si>
  <si>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</si>
  <si>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</si>
  <si>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</si>
  <si>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</si>
  <si>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</si>
  <si>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</si>
  <si>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</si>
  <si>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</si>
  <si>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</si>
  <si>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</si>
  <si>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</si>
  <si>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</si>
  <si>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</si>
  <si>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</si>
  <si>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</si>
  <si>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</si>
  <si>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</si>
  <si>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</si>
  <si>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</si>
  <si>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</si>
  <si>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</si>
  <si>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</si>
  <si>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</si>
  <si>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</si>
  <si>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</si>
  <si>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</si>
  <si>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</si>
  <si>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</si>
  <si>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</si>
  <si>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</si>
  <si>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</si>
  <si>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</si>
  <si>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</si>
  <si>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</si>
  <si>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</si>
  <si>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</si>
  <si>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</si>
  <si>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</si>
  <si>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</si>
  <si>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</si>
  <si>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</si>
  <si>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</si>
  <si>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</si>
  <si>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</si>
  <si>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</si>
  <si>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</si>
  <si>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</si>
  <si>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</si>
  <si>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</si>
  <si>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</si>
  <si>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</si>
  <si>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</si>
  <si>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</si>
  <si>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</si>
  <si>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</si>
  <si>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</si>
  <si>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</si>
  <si>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</si>
  <si>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</si>
  <si>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</si>
  <si>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</si>
  <si>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</si>
  <si>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</si>
  <si>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</si>
  <si>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</si>
  <si>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</si>
  <si>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</si>
  <si>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</si>
  <si>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</si>
  <si>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</si>
  <si>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</si>
  <si>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</si>
  <si>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</si>
  <si>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</si>
  <si>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</si>
  <si>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</si>
  <si>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</si>
  <si>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</si>
  <si>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</si>
  <si>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</si>
  <si>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</si>
  <si>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</si>
  <si>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</si>
  <si>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</si>
  <si>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</si>
  <si>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</si>
  <si>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</si>
  <si>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</si>
  <si>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</si>
  <si>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</si>
  <si>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10</t>
  </si>
  <si>
    <t>04</t>
  </si>
  <si>
    <t>7437601</t>
  </si>
  <si>
    <t>321</t>
  </si>
  <si>
    <t>7437711</t>
  </si>
  <si>
    <t>313</t>
  </si>
  <si>
    <t>2.4.1.</t>
  </si>
  <si>
    <t>7437712</t>
  </si>
  <si>
    <t>7437713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</si>
  <si>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</si>
  <si>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</si>
  <si>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</si>
  <si>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</si>
  <si>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</si>
  <si>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</si>
  <si>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</si>
  <si>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</si>
  <si>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</si>
  <si>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</si>
  <si>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</si>
  <si>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</si>
  <si>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</si>
  <si>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</si>
  <si>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</si>
  <si>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</si>
  <si>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</si>
  <si>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</si>
  <si>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</si>
  <si>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</si>
  <si>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</si>
  <si>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</si>
  <si>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</si>
  <si>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1.8. Организация дотационного, бесплатного и льготного питания дошкольников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</si>
  <si>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</si>
  <si>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</si>
  <si>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</si>
  <si>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</si>
  <si>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</si>
  <si>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</si>
  <si>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</si>
  <si>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</si>
  <si>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к постановлению администрации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</si>
  <si>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</si>
  <si>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</si>
  <si>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</si>
  <si>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</si>
  <si>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</si>
  <si>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</si>
  <si>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</si>
  <si>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</si>
  <si>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</si>
  <si>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</si>
  <si>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</si>
  <si>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-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</si>
  <si>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</si>
  <si>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</si>
  <si>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</si>
  <si>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Исполнители</t>
  </si>
  <si>
    <t>Срок исполнения (год)</t>
  </si>
  <si>
    <t>Объем финансирования, млн.руб.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</si>
  <si>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</si>
  <si>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</si>
  <si>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</si>
  <si>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</si>
  <si>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средства</t>
  </si>
  <si>
    <t>Показатель результата мероприятия по годам</t>
  </si>
  <si>
    <t>ПЕРЕЧЕНЬ МЕРОПРИЯТИЙ</t>
  </si>
  <si>
    <t>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</si>
  <si>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</si>
  <si>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</si>
  <si>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</si>
  <si>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</si>
  <si>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</si>
  <si>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</si>
  <si>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</si>
  <si>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</si>
  <si>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</si>
  <si>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</si>
  <si>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</si>
  <si>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</si>
  <si>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</si>
  <si>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</si>
  <si>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</si>
  <si>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1.17</t>
  </si>
  <si>
    <t>1.18</t>
  </si>
  <si>
    <t>1.19</t>
  </si>
  <si>
    <t>1.20</t>
  </si>
  <si>
    <t>1.21</t>
  </si>
  <si>
    <t>Мероприятие 1.9. Обеспечение обучающихся 1-11 классов горячим питанием</t>
  </si>
  <si>
    <t>1.16</t>
  </si>
  <si>
    <t>Приложение № 10</t>
  </si>
  <si>
    <t>2.1</t>
  </si>
  <si>
    <t>2.2</t>
  </si>
  <si>
    <t>2.3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</si>
  <si>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</si>
  <si>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2.4</t>
  </si>
  <si>
    <t>2.5</t>
  </si>
  <si>
    <t>2.6</t>
  </si>
  <si>
    <t>2.7</t>
  </si>
  <si>
    <t>2.8</t>
  </si>
  <si>
    <t>Итого по мероприятиям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</si>
  <si>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(%)</t>
  </si>
  <si>
    <t>Уровень освоения бюджетных средств от общей суммы выделенных средств на реализацию муниципальной программы (%)</t>
  </si>
  <si>
    <t>не менее 90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</si>
  <si>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</t>
  </si>
  <si>
    <t>Удельный вес граждан, получающих компенсацию родительской платы за присмотр и уход за детьми в дошкольных образовательных организациях, от общего числа граждан, предоставивших документы на выплату компенсации (%)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</si>
  <si>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(%)</t>
  </si>
  <si>
    <t>17,39 (*1,5)</t>
  </si>
  <si>
    <t>17,42 (*1,4)</t>
  </si>
  <si>
    <t>17,45 (*1,3)</t>
  </si>
  <si>
    <t>17,50 (*1,2)</t>
  </si>
  <si>
    <t>17,69 (*1,1)</t>
  </si>
  <si>
    <t>17,78 (*1,0)</t>
  </si>
  <si>
    <t>18503; 22590 (24325)</t>
  </si>
  <si>
    <t>Среднемесячная номинальная начисленная заработная плата работников: муниципальных дошкольных образовательных учреждений; муниципальных общеобразовательных учреждений (в том числе учителей) (руб.)</t>
  </si>
  <si>
    <t>Среднемесячная номинальная начисленная заработная плата работников муниципальных дошкольных образовательных учреждений (руб.)</t>
  </si>
  <si>
    <t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(* в т.ч. доля детей, нуждающихся в услугах дошкольного образования, но не обеспеченных местами в муниципальных дошкольных образовательных учреждениях) (%)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</si>
  <si>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 (%)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</si>
  <si>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 (%)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</si>
  <si>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 (тыс.руб.)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</si>
  <si>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(%)                         </t>
  </si>
  <si>
    <t>не более 6,9</t>
  </si>
  <si>
    <t>не более 6,7</t>
  </si>
  <si>
    <t>Среднемесячная номинальная начисленная заработная плата работников муниципальных общеобразовательных учреждений (в том числе учителей) (руб.)</t>
  </si>
  <si>
    <t>Доля детей первой и второй групп здоровья в общей численности обучающихся в муниципальных общеобразовательных учреждениях  (%)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</si>
  <si>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 (%)</t>
  </si>
  <si>
    <t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 (%)</t>
  </si>
  <si>
    <t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(%)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</si>
  <si>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 (%)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</si>
  <si>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 (%)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</si>
  <si>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 (%)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</si>
  <si>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 (%)</t>
  </si>
  <si>
    <t>22590 (24325)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</si>
  <si>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 (%)</t>
  </si>
  <si>
    <t>не менее 99</t>
  </si>
  <si>
    <t>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дошк.образовательных учреждений (%)</t>
  </si>
  <si>
    <t>19017; 23565 (24853)</t>
  </si>
  <si>
    <t>23565 (24853)</t>
  </si>
  <si>
    <t>не более 6,4</t>
  </si>
  <si>
    <t>Доля выпускников 9 классов, продолживших получение образования в общеобразовательных и профессиональных образовательных организациях (%)</t>
  </si>
  <si>
    <t>Управление образования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</si>
  <si>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муниципальные учреждения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</si>
  <si>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администрации районов города Пензы, Комитет по физической культуре, спорту и молодежной политике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</si>
  <si>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МКУ "ЦКОиМОУО" города Пензы</t>
  </si>
  <si>
    <t>Управление образования города Пензы, МБУ "ХЭК" г.Пензы</t>
  </si>
  <si>
    <t>Наименование мероприятий</t>
  </si>
  <si>
    <t>Охват детей школьного возраста, получивших услугу отдыха и оздоровления в оздоровительных лагерях различных типов (%)</t>
  </si>
  <si>
    <t>Доля родителей (законных представителей), удовлетворенных качеством организации каникулярного отдыха детей от общего количества респондентов, принимавших участие в анкетировании (%)</t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</si>
  <si>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создание условий для получения качественного дошкольного, общего и дополнительного образования, отдыха детей в каникулярное время, развития творческого потенциала детей и подростков и обеспечение доступности получения качественных образовательных услуг; повышение социальной защищённости детей-сирот и детей, оставшихся без попечения родителей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</si>
  <si>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модернизация образовательных программ и технологий обучения, развитие инфраструктуры, организационно-правовых форм, обеспечивающих достижение современного качества учебных результатов, равную доступность качественных услуг дошкольного, общего, дополнительного образования, позитивную социализацию детей; совершенствование и развитие системы организации каникулярного отдыха детей; совершенствование организации питания детей в образовательных учреждениях; укрепление материально-технической базы, проведение капитального ремонта зданий и сооружений образовательных учреждений в соответствии с современными требованиями и обеспечение их безопасности; обслуживание зданий, помещений, сооружений, территорий учреждений образования, транспортное обеспечение и техническое сопровождение; информационно-методическое сопровождение деятельности учреждений образования;  реализация государственной политики в сфере защиты детей-сирот и детей, оставшихся без попечения родителей; реализация механизмов адресной социально-экономической поддержки в системе дошкольного образования; организация городских мероприятий с обучающимися, воспитанниками и педагогическими работниками образовательных учреждений
</t>
    </r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</si>
  <si>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осуществление координации деятельности образовательных учреждений для создания оптимальных условий по предоставлению качественных образовательных услуг; повышение эффективности управления системой образования в городе Пензе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</si>
  <si>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эффективное осуществление функций руководства и управления в сфере установленных полномочий; обеспечение исполнения переданных полномочий Министерства Пензенской области
</t>
    </r>
  </si>
  <si>
    <t>19725; 24180 (25280)</t>
  </si>
  <si>
    <t>24180 (25280)</t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</si>
  <si>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 (%)</t>
  </si>
  <si>
    <t>«Развитие образования в городе Пензе на 2015 - 2021 годы»</t>
  </si>
  <si>
    <t>23647; 26546 (27620)</t>
  </si>
  <si>
    <t>26546 (27620)</t>
  </si>
  <si>
    <t>1.22</t>
  </si>
  <si>
    <t>Количество обучающихся, состоящих в школьных спортивных клубах по футболу в муниципальных общеобразовательных организациях (человек)</t>
  </si>
  <si>
    <t>Мероприятие 1.22. Организация деятельности школьных спортивных клубов по футболу в муниципальных общеобразовательных организациях</t>
  </si>
  <si>
    <t>1.23</t>
  </si>
  <si>
    <t>Мероприятие 1.E5. Региональный проект «Учитель будущего»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</si>
  <si>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</si>
  <si>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1.24</t>
  </si>
  <si>
    <t>Мероприятие 1.23. Проведение мероприятий по антитеррористической защищенности объектов муниципальных образовательных организаций</t>
  </si>
  <si>
    <t>Количество объектов (территорий), въезды на которые оснащены воротами, обеспечивающими жесткую фиксацию их створок в закрытом положении (ед.)</t>
  </si>
  <si>
    <t>Количество объектов (территорий), оборудованных инженерно-техническими средствами и системами охраны (ед.)</t>
  </si>
  <si>
    <t>1.25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</si>
  <si>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</si>
  <si>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Количество объектов (территорий), оборудованных  системами экстренного оповещения работников, обучающихся и иных лиц, находящихся на объекте (территории), о потенциальной угрозе возникновения или возникновении чрезвычайной ситуации (ед.)</t>
  </si>
  <si>
    <t>Количество объектов (территорий), на которых выполнено целостное периметральное ограждение, позволяющее исключить бесконтрольное пребывание на объекте (территории) посторонних лиц и нахождения транспортных средств, в том числе в непосредственной близости от объекта (территории) (ед.)</t>
  </si>
  <si>
    <t>Приложение № 9</t>
  </si>
  <si>
    <t>24421; 29441 (29979)</t>
  </si>
  <si>
    <t>29441 (29979)</t>
  </si>
  <si>
    <t>от 30.12.2019  №2506/4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</si>
</sst>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  <numFmt numFmtId="182" formatCode="#,##0.000000"/>
    <numFmt numFmtId="183" formatCode="#,##0.00000000"/>
    <numFmt numFmtId="184" formatCode="#,##0.0000000"/>
    <numFmt numFmtId="185" formatCode="#,##0.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left"/>
    </xf>
    <xf numFmtId="49" fontId="51" fillId="0" borderId="10" xfId="0" applyNumberFormat="1" applyFont="1" applyBorder="1" applyAlignment="1">
      <alignment horizontal="justify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51" fillId="0" borderId="10" xfId="0" applyNumberFormat="1" applyFont="1" applyBorder="1" applyAlignment="1">
      <alignment vertical="top" wrapText="1"/>
    </xf>
    <xf numFmtId="0" fontId="51" fillId="0" borderId="10" xfId="0" applyNumberFormat="1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51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" fontId="51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14" fontId="52" fillId="0" borderId="10" xfId="0" applyNumberFormat="1" applyFont="1" applyBorder="1" applyAlignment="1">
      <alignment vertical="top" wrapText="1"/>
    </xf>
    <xf numFmtId="176" fontId="55" fillId="0" borderId="10" xfId="0" applyNumberFormat="1" applyFont="1" applyBorder="1" applyAlignment="1">
      <alignment vertical="top" wrapText="1"/>
    </xf>
    <xf numFmtId="176" fontId="52" fillId="0" borderId="10" xfId="0" applyNumberFormat="1" applyFont="1" applyBorder="1" applyAlignment="1">
      <alignment vertical="top" wrapText="1"/>
    </xf>
    <xf numFmtId="49" fontId="52" fillId="0" borderId="10" xfId="0" applyNumberFormat="1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right" vertical="center" wrapText="1"/>
    </xf>
    <xf numFmtId="179" fontId="8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right" vertical="center" wrapText="1"/>
    </xf>
    <xf numFmtId="182" fontId="10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79" fontId="7" fillId="0" borderId="0" xfId="0" applyNumberFormat="1" applyFont="1" applyFill="1" applyAlignment="1">
      <alignment/>
    </xf>
    <xf numFmtId="183" fontId="8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Alignment="1">
      <alignment/>
    </xf>
    <xf numFmtId="183" fontId="10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left" vertical="top" wrapText="1"/>
    </xf>
    <xf numFmtId="4" fontId="4" fillId="0" borderId="15" xfId="0" applyNumberFormat="1" applyFont="1" applyFill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79" fontId="8" fillId="0" borderId="10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79" fontId="4" fillId="0" borderId="10" xfId="0" applyNumberFormat="1" applyFont="1" applyFill="1" applyBorder="1" applyAlignment="1">
      <alignment vertical="center" wrapText="1"/>
    </xf>
    <xf numFmtId="179" fontId="4" fillId="0" borderId="14" xfId="0" applyNumberFormat="1" applyFont="1" applyFill="1" applyBorder="1" applyAlignment="1">
      <alignment horizontal="left" vertical="center" wrapText="1"/>
    </xf>
    <xf numFmtId="179" fontId="4" fillId="0" borderId="15" xfId="0" applyNumberFormat="1" applyFont="1" applyFill="1" applyBorder="1" applyAlignment="1">
      <alignment horizontal="left" vertical="center" wrapText="1"/>
    </xf>
    <xf numFmtId="179" fontId="4" fillId="0" borderId="16" xfId="0" applyNumberFormat="1" applyFont="1" applyFill="1" applyBorder="1" applyAlignment="1">
      <alignment horizontal="left" vertical="center" wrapText="1"/>
    </xf>
    <xf numFmtId="179" fontId="4" fillId="0" borderId="17" xfId="0" applyNumberFormat="1" applyFont="1" applyFill="1" applyBorder="1" applyAlignment="1">
      <alignment horizontal="center" vertical="center" wrapText="1"/>
    </xf>
    <xf numFmtId="179" fontId="4" fillId="0" borderId="18" xfId="0" applyNumberFormat="1" applyFont="1" applyFill="1" applyBorder="1" applyAlignment="1">
      <alignment horizontal="center" vertical="center" wrapText="1"/>
    </xf>
    <xf numFmtId="179" fontId="4" fillId="0" borderId="19" xfId="0" applyNumberFormat="1" applyFont="1" applyFill="1" applyBorder="1" applyAlignment="1">
      <alignment horizontal="center" vertical="center" wrapText="1"/>
    </xf>
    <xf numFmtId="179" fontId="4" fillId="0" borderId="2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179" fontId="4" fillId="0" borderId="21" xfId="0" applyNumberFormat="1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179" fontId="4" fillId="0" borderId="23" xfId="0" applyNumberFormat="1" applyFont="1" applyFill="1" applyBorder="1" applyAlignment="1">
      <alignment horizontal="center" vertical="center" wrapText="1"/>
    </xf>
    <xf numFmtId="179" fontId="4" fillId="0" borderId="2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49" fontId="52" fillId="0" borderId="11" xfId="0" applyNumberFormat="1" applyFont="1" applyBorder="1" applyAlignment="1">
      <alignment horizontal="left" vertical="top" wrapText="1"/>
    </xf>
    <xf numFmtId="49" fontId="52" fillId="0" borderId="12" xfId="0" applyNumberFormat="1" applyFont="1" applyBorder="1" applyAlignment="1">
      <alignment horizontal="left" vertical="top" wrapText="1"/>
    </xf>
    <xf numFmtId="49" fontId="52" fillId="0" borderId="13" xfId="0" applyNumberFormat="1" applyFont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1" xfId="0" applyNumberFormat="1" applyFont="1" applyBorder="1" applyAlignment="1">
      <alignment horizontal="left" vertical="top" wrapText="1"/>
    </xf>
    <xf numFmtId="0" fontId="52" fillId="0" borderId="12" xfId="0" applyNumberFormat="1" applyFont="1" applyBorder="1" applyAlignment="1">
      <alignment horizontal="left" vertical="top" wrapText="1"/>
    </xf>
    <xf numFmtId="0" fontId="52" fillId="0" borderId="13" xfId="0" applyNumberFormat="1" applyFont="1" applyBorder="1" applyAlignment="1">
      <alignment horizontal="left" vertical="top" wrapText="1"/>
    </xf>
    <xf numFmtId="0" fontId="52" fillId="0" borderId="11" xfId="0" applyNumberFormat="1" applyFont="1" applyBorder="1" applyAlignment="1">
      <alignment horizontal="center" vertical="top" wrapText="1"/>
    </xf>
    <xf numFmtId="0" fontId="52" fillId="0" borderId="12" xfId="0" applyNumberFormat="1" applyFont="1" applyBorder="1" applyAlignment="1">
      <alignment horizontal="center" vertical="top" wrapText="1"/>
    </xf>
    <xf numFmtId="0" fontId="52" fillId="0" borderId="13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49" fontId="51" fillId="0" borderId="11" xfId="0" applyNumberFormat="1" applyFont="1" applyBorder="1" applyAlignment="1">
      <alignment horizontal="left" vertical="top" wrapText="1"/>
    </xf>
    <xf numFmtId="49" fontId="51" fillId="0" borderId="12" xfId="0" applyNumberFormat="1" applyFont="1" applyBorder="1" applyAlignment="1">
      <alignment horizontal="left" vertical="top" wrapText="1"/>
    </xf>
    <xf numFmtId="49" fontId="51" fillId="0" borderId="13" xfId="0" applyNumberFormat="1" applyFont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1" xfId="0" applyNumberFormat="1" applyFont="1" applyBorder="1" applyAlignment="1">
      <alignment horizontal="left" vertical="top" wrapText="1"/>
    </xf>
    <xf numFmtId="0" fontId="51" fillId="0" borderId="13" xfId="0" applyNumberFormat="1" applyFont="1" applyBorder="1" applyAlignment="1">
      <alignment horizontal="left" vertical="top" wrapText="1"/>
    </xf>
    <xf numFmtId="0" fontId="51" fillId="0" borderId="12" xfId="0" applyNumberFormat="1" applyFont="1" applyBorder="1" applyAlignment="1">
      <alignment horizontal="left" vertical="top" wrapText="1"/>
    </xf>
    <xf numFmtId="0" fontId="51" fillId="0" borderId="11" xfId="0" applyNumberFormat="1" applyFont="1" applyBorder="1" applyAlignment="1">
      <alignment horizontal="center" vertical="top" wrapText="1"/>
    </xf>
    <xf numFmtId="0" fontId="51" fillId="0" borderId="12" xfId="0" applyNumberFormat="1" applyFont="1" applyBorder="1" applyAlignment="1">
      <alignment horizontal="center" vertical="top" wrapText="1"/>
    </xf>
    <xf numFmtId="0" fontId="51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1"/>
  <sheetViews>
    <sheetView tabSelected="1" view="pageBreakPreview" zoomScaleSheetLayoutView="100" zoomScalePageLayoutView="0" workbookViewId="0" topLeftCell="A1">
      <selection activeCell="A11" sqref="A11:O11"/>
    </sheetView>
  </sheetViews>
  <sheetFormatPr defaultColWidth="9.140625" defaultRowHeight="15"/>
  <cols>
    <col min="1" max="1" width="4.8515625" style="30" customWidth="1"/>
    <col min="2" max="2" width="26.7109375" style="30" customWidth="1"/>
    <col min="3" max="3" width="14.57421875" style="30" customWidth="1"/>
    <col min="4" max="4" width="6.8515625" style="30" customWidth="1"/>
    <col min="5" max="5" width="13.140625" style="30" customWidth="1"/>
    <col min="6" max="6" width="12.7109375" style="30" customWidth="1"/>
    <col min="7" max="7" width="13.28125" style="30" customWidth="1"/>
    <col min="8" max="8" width="9.00390625" style="30" customWidth="1"/>
    <col min="9" max="9" width="8.140625" style="30" customWidth="1"/>
    <col min="10" max="10" width="15.00390625" style="30" customWidth="1"/>
    <col min="11" max="11" width="17.8515625" style="30" customWidth="1"/>
    <col min="12" max="12" width="14.8515625" style="30" customWidth="1"/>
    <col min="13" max="13" width="16.8515625" style="30" customWidth="1"/>
    <col min="14" max="14" width="13.28125" style="30" customWidth="1"/>
    <col min="15" max="15" width="16.00390625" style="30" customWidth="1"/>
    <col min="16" max="16" width="12.140625" style="30" customWidth="1"/>
    <col min="17" max="17" width="13.8515625" style="30" customWidth="1"/>
    <col min="18" max="16384" width="9.140625" style="30" customWidth="1"/>
  </cols>
  <sheetData>
    <row r="1" spans="8:17" ht="15" customHeight="1">
      <c r="H1" s="31"/>
      <c r="I1" s="31"/>
      <c r="J1" s="31"/>
      <c r="L1" s="37"/>
      <c r="O1" s="37"/>
      <c r="Q1" s="37" t="s">
        <v>264</v>
      </c>
    </row>
    <row r="2" spans="8:17" ht="15">
      <c r="H2" s="31"/>
      <c r="I2" s="31"/>
      <c r="J2" s="31"/>
      <c r="L2" s="37"/>
      <c r="O2" s="37"/>
      <c r="Q2" s="37" t="s">
        <v>133</v>
      </c>
    </row>
    <row r="3" spans="8:17" ht="15" customHeight="1">
      <c r="H3" s="31"/>
      <c r="I3" s="31"/>
      <c r="J3" s="31"/>
      <c r="L3" s="37"/>
      <c r="O3" s="37"/>
      <c r="Q3" s="37" t="s">
        <v>267</v>
      </c>
    </row>
    <row r="4" spans="12:17" ht="15">
      <c r="L4" s="37"/>
      <c r="O4" s="37"/>
      <c r="Q4" s="37"/>
    </row>
    <row r="5" spans="12:17" ht="15">
      <c r="L5" s="37"/>
      <c r="O5" s="37"/>
      <c r="Q5" s="37"/>
    </row>
    <row r="6" spans="8:17" ht="15">
      <c r="H6" s="31"/>
      <c r="I6" s="31"/>
      <c r="J6" s="31"/>
      <c r="L6" s="37"/>
      <c r="O6" s="37"/>
      <c r="Q6" s="37" t="s">
        <v>182</v>
      </c>
    </row>
    <row r="7" spans="8:17" ht="15">
      <c r="H7" s="31"/>
      <c r="I7" s="31"/>
      <c r="J7" s="31"/>
      <c r="L7" s="37"/>
      <c r="O7" s="37"/>
      <c r="Q7" s="37" t="s">
        <v>111</v>
      </c>
    </row>
    <row r="8" spans="6:17" ht="15">
      <c r="F8" s="31"/>
      <c r="H8" s="31"/>
      <c r="I8" s="31"/>
      <c r="J8" s="31"/>
      <c r="L8" s="37"/>
      <c r="O8" s="37"/>
      <c r="Q8" s="37" t="s">
        <v>247</v>
      </c>
    </row>
    <row r="9" ht="15">
      <c r="I9" s="44"/>
    </row>
    <row r="10" ht="15">
      <c r="I10" s="44"/>
    </row>
    <row r="11" spans="1:15" ht="15">
      <c r="A11" s="85" t="s">
        <v>158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1:15" ht="15">
      <c r="A12" s="85" t="s">
        <v>159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5" ht="15">
      <c r="A13" s="85" t="s">
        <v>247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0" ht="1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7" ht="15" customHeight="1">
      <c r="A15" s="101" t="s">
        <v>120</v>
      </c>
      <c r="B15" s="125" t="s">
        <v>237</v>
      </c>
      <c r="C15" s="127" t="s">
        <v>149</v>
      </c>
      <c r="D15" s="128" t="s">
        <v>150</v>
      </c>
      <c r="E15" s="103" t="s">
        <v>151</v>
      </c>
      <c r="F15" s="103"/>
      <c r="G15" s="103"/>
      <c r="H15" s="103"/>
      <c r="I15" s="103"/>
      <c r="J15" s="88" t="s">
        <v>157</v>
      </c>
      <c r="K15" s="88"/>
      <c r="L15" s="88"/>
      <c r="M15" s="88"/>
      <c r="N15" s="88"/>
      <c r="O15" s="88"/>
      <c r="P15" s="88"/>
      <c r="Q15" s="88"/>
    </row>
    <row r="16" spans="1:17" ht="18" customHeight="1">
      <c r="A16" s="101"/>
      <c r="B16" s="125"/>
      <c r="C16" s="127"/>
      <c r="D16" s="128"/>
      <c r="E16" s="126" t="s">
        <v>152</v>
      </c>
      <c r="F16" s="101" t="s">
        <v>153</v>
      </c>
      <c r="G16" s="101" t="s">
        <v>154</v>
      </c>
      <c r="H16" s="101" t="s">
        <v>155</v>
      </c>
      <c r="I16" s="101" t="s">
        <v>156</v>
      </c>
      <c r="J16" s="88"/>
      <c r="K16" s="88"/>
      <c r="L16" s="88"/>
      <c r="M16" s="88"/>
      <c r="N16" s="88"/>
      <c r="O16" s="88"/>
      <c r="P16" s="88"/>
      <c r="Q16" s="88"/>
    </row>
    <row r="17" spans="1:17" ht="22.5" customHeight="1">
      <c r="A17" s="101"/>
      <c r="B17" s="125"/>
      <c r="C17" s="127"/>
      <c r="D17" s="128"/>
      <c r="E17" s="126"/>
      <c r="F17" s="101"/>
      <c r="G17" s="101"/>
      <c r="H17" s="101"/>
      <c r="I17" s="101"/>
      <c r="J17" s="88"/>
      <c r="K17" s="88"/>
      <c r="L17" s="88"/>
      <c r="M17" s="88"/>
      <c r="N17" s="88"/>
      <c r="O17" s="88"/>
      <c r="P17" s="88"/>
      <c r="Q17" s="88"/>
    </row>
    <row r="18" spans="1:17" ht="12.75" customHeight="1">
      <c r="A18" s="33">
        <v>1</v>
      </c>
      <c r="B18" s="33">
        <v>2</v>
      </c>
      <c r="C18" s="34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  <c r="J18" s="102">
        <v>10</v>
      </c>
      <c r="K18" s="102"/>
      <c r="L18" s="102"/>
      <c r="M18" s="102"/>
      <c r="N18" s="102"/>
      <c r="O18" s="102"/>
      <c r="P18" s="102"/>
      <c r="Q18" s="102"/>
    </row>
    <row r="19" spans="1:17" ht="15.75" customHeight="1">
      <c r="A19" s="91" t="s">
        <v>33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32.25" customHeight="1">
      <c r="A20" s="93" t="s">
        <v>240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1:17" ht="73.5" customHeight="1">
      <c r="A21" s="93" t="s">
        <v>241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ht="85.5" customHeight="1">
      <c r="A22" s="63" t="s">
        <v>160</v>
      </c>
      <c r="B22" s="94" t="s">
        <v>125</v>
      </c>
      <c r="C22" s="69" t="s">
        <v>232</v>
      </c>
      <c r="D22" s="42" t="s">
        <v>19</v>
      </c>
      <c r="E22" s="52">
        <f>E23+E24+E25+E26+E27+E28+E29</f>
        <v>3252.7302706500004</v>
      </c>
      <c r="F22" s="52">
        <f>F23+F24+F25+F26+F27+F28+F29</f>
        <v>3154.86174565</v>
      </c>
      <c r="G22" s="35">
        <f>G23+G24+G25+G26+G27+G28+G29</f>
        <v>97.868525</v>
      </c>
      <c r="H22" s="55">
        <f>H23+H24+H25+H26+H27+H28+H29</f>
        <v>0</v>
      </c>
      <c r="I22" s="55">
        <f>I23+I24+I25+I26+I27+I28+I29</f>
        <v>0</v>
      </c>
      <c r="J22" s="87" t="s">
        <v>208</v>
      </c>
      <c r="K22" s="87"/>
      <c r="L22" s="87"/>
      <c r="M22" s="87"/>
      <c r="N22" s="100" t="s">
        <v>198</v>
      </c>
      <c r="O22" s="100"/>
      <c r="P22" s="87" t="s">
        <v>207</v>
      </c>
      <c r="Q22" s="87"/>
    </row>
    <row r="23" spans="1:17" ht="15">
      <c r="A23" s="64"/>
      <c r="B23" s="95"/>
      <c r="C23" s="70"/>
      <c r="D23" s="32">
        <v>2015</v>
      </c>
      <c r="E23" s="35">
        <f aca="true" t="shared" si="0" ref="E23:E29">F23+G23+H23+I23</f>
        <v>320.5178</v>
      </c>
      <c r="F23" s="35">
        <v>320.5178</v>
      </c>
      <c r="G23" s="35">
        <v>0</v>
      </c>
      <c r="H23" s="35">
        <v>0</v>
      </c>
      <c r="I23" s="35">
        <v>0</v>
      </c>
      <c r="J23" s="92" t="s">
        <v>199</v>
      </c>
      <c r="K23" s="92"/>
      <c r="L23" s="92"/>
      <c r="M23" s="92"/>
      <c r="N23" s="79">
        <v>85.36</v>
      </c>
      <c r="O23" s="79"/>
      <c r="P23" s="92">
        <v>18503</v>
      </c>
      <c r="Q23" s="92"/>
    </row>
    <row r="24" spans="1:17" ht="15">
      <c r="A24" s="64"/>
      <c r="B24" s="95"/>
      <c r="C24" s="70"/>
      <c r="D24" s="32">
        <v>2016</v>
      </c>
      <c r="E24" s="35">
        <f t="shared" si="0"/>
        <v>334.9646</v>
      </c>
      <c r="F24" s="35">
        <v>334.9646</v>
      </c>
      <c r="G24" s="35">
        <v>0</v>
      </c>
      <c r="H24" s="35">
        <v>0</v>
      </c>
      <c r="I24" s="35">
        <v>0</v>
      </c>
      <c r="J24" s="92" t="s">
        <v>200</v>
      </c>
      <c r="K24" s="92"/>
      <c r="L24" s="92"/>
      <c r="M24" s="92"/>
      <c r="N24" s="79">
        <v>83.78</v>
      </c>
      <c r="O24" s="79"/>
      <c r="P24" s="92">
        <v>19017</v>
      </c>
      <c r="Q24" s="92"/>
    </row>
    <row r="25" spans="1:17" ht="15">
      <c r="A25" s="64"/>
      <c r="B25" s="95"/>
      <c r="C25" s="70"/>
      <c r="D25" s="32">
        <v>2017</v>
      </c>
      <c r="E25" s="52">
        <f t="shared" si="0"/>
        <v>359.20547246</v>
      </c>
      <c r="F25" s="52">
        <f>446.4587-24.7383-39.6675-39.3563-0.4203-0.0468+2.7923+0.085+0.874-0.874+1.3858+0.4579+0.0087+0.4585+0.008+11.13424418+0.61598618+0.0295421</f>
        <v>359.20547246</v>
      </c>
      <c r="G25" s="35">
        <v>0</v>
      </c>
      <c r="H25" s="35">
        <v>0</v>
      </c>
      <c r="I25" s="35">
        <v>0</v>
      </c>
      <c r="J25" s="92" t="s">
        <v>201</v>
      </c>
      <c r="K25" s="92"/>
      <c r="L25" s="92"/>
      <c r="M25" s="92"/>
      <c r="N25" s="79">
        <v>84.19</v>
      </c>
      <c r="O25" s="79"/>
      <c r="P25" s="92">
        <v>19725</v>
      </c>
      <c r="Q25" s="92"/>
    </row>
    <row r="26" spans="1:17" ht="15">
      <c r="A26" s="64"/>
      <c r="B26" s="95"/>
      <c r="C26" s="70"/>
      <c r="D26" s="32">
        <v>2018</v>
      </c>
      <c r="E26" s="52">
        <f t="shared" si="0"/>
        <v>522.91904719</v>
      </c>
      <c r="F26" s="52">
        <f>472.15447+0.426864+0.483776-0.101881-0.03363293-0.002935-0.02126488+1.2266-0.04582+5.483566+0.042415</f>
        <v>479.61215719000006</v>
      </c>
      <c r="G26" s="35">
        <f>26.00473+17.30216</f>
        <v>43.306889999999996</v>
      </c>
      <c r="H26" s="35">
        <v>0</v>
      </c>
      <c r="I26" s="35">
        <v>0</v>
      </c>
      <c r="J26" s="92" t="s">
        <v>202</v>
      </c>
      <c r="K26" s="92"/>
      <c r="L26" s="92"/>
      <c r="M26" s="92"/>
      <c r="N26" s="79">
        <v>84.77</v>
      </c>
      <c r="O26" s="79"/>
      <c r="P26" s="92">
        <v>23647</v>
      </c>
      <c r="Q26" s="92"/>
    </row>
    <row r="27" spans="1:17" ht="15">
      <c r="A27" s="64"/>
      <c r="B27" s="95"/>
      <c r="C27" s="70"/>
      <c r="D27" s="32">
        <v>2019</v>
      </c>
      <c r="E27" s="35">
        <f>F27+G27+H27+I27</f>
        <v>562.9230000000001</v>
      </c>
      <c r="F27" s="35">
        <f>502.382165+0.0599+0.9107+0.0893-0.0559+0.0601+0.7231+0.0459+0.3609-0.12+0.5871-0.176-0.0019-0.0712+0.118+0.1+0.4191+3.116-0.1546-0.0313</f>
        <v>508.3613650000001</v>
      </c>
      <c r="G27" s="35">
        <v>54.561635</v>
      </c>
      <c r="H27" s="35">
        <v>0</v>
      </c>
      <c r="I27" s="35">
        <v>0</v>
      </c>
      <c r="J27" s="92" t="s">
        <v>203</v>
      </c>
      <c r="K27" s="92"/>
      <c r="L27" s="92"/>
      <c r="M27" s="92"/>
      <c r="N27" s="79">
        <v>84.79</v>
      </c>
      <c r="O27" s="79"/>
      <c r="P27" s="92">
        <v>24421</v>
      </c>
      <c r="Q27" s="92"/>
    </row>
    <row r="28" spans="1:17" ht="15">
      <c r="A28" s="64"/>
      <c r="B28" s="95"/>
      <c r="C28" s="70"/>
      <c r="D28" s="32">
        <v>2020</v>
      </c>
      <c r="E28" s="35">
        <f t="shared" si="0"/>
        <v>569.973251</v>
      </c>
      <c r="F28" s="35">
        <f>570.303-0.329749</f>
        <v>569.973251</v>
      </c>
      <c r="G28" s="35">
        <v>0</v>
      </c>
      <c r="H28" s="35">
        <v>0</v>
      </c>
      <c r="I28" s="35">
        <v>0</v>
      </c>
      <c r="J28" s="92" t="s">
        <v>204</v>
      </c>
      <c r="K28" s="92"/>
      <c r="L28" s="92"/>
      <c r="M28" s="92"/>
      <c r="N28" s="79">
        <v>84.75</v>
      </c>
      <c r="O28" s="79"/>
      <c r="P28" s="92">
        <f>P27</f>
        <v>24421</v>
      </c>
      <c r="Q28" s="92"/>
    </row>
    <row r="29" spans="1:17" ht="15">
      <c r="A29" s="65"/>
      <c r="B29" s="96"/>
      <c r="C29" s="71"/>
      <c r="D29" s="32">
        <v>2021</v>
      </c>
      <c r="E29" s="35">
        <f t="shared" si="0"/>
        <v>582.2271</v>
      </c>
      <c r="F29" s="35">
        <v>582.2271</v>
      </c>
      <c r="G29" s="35">
        <f>G28</f>
        <v>0</v>
      </c>
      <c r="H29" s="35">
        <f>H28</f>
        <v>0</v>
      </c>
      <c r="I29" s="35">
        <f>I28</f>
        <v>0</v>
      </c>
      <c r="J29" s="108" t="str">
        <f>J28</f>
        <v>17,78 (*1,0)</v>
      </c>
      <c r="K29" s="109"/>
      <c r="L29" s="109"/>
      <c r="M29" s="110"/>
      <c r="N29" s="72">
        <f>N28</f>
        <v>84.75</v>
      </c>
      <c r="O29" s="74"/>
      <c r="P29" s="92">
        <f>P28</f>
        <v>24421</v>
      </c>
      <c r="Q29" s="92"/>
    </row>
    <row r="30" spans="1:17" ht="53.25" customHeight="1">
      <c r="A30" s="63" t="s">
        <v>161</v>
      </c>
      <c r="B30" s="94" t="s">
        <v>121</v>
      </c>
      <c r="C30" s="69" t="s">
        <v>233</v>
      </c>
      <c r="D30" s="42" t="s">
        <v>19</v>
      </c>
      <c r="E30" s="52">
        <f>E31+E32+E33+E34+E35+E36+E37</f>
        <v>85.16237644</v>
      </c>
      <c r="F30" s="52">
        <f>F31+F32+F33+F34+F35+F36+F37</f>
        <v>67.71375529000001</v>
      </c>
      <c r="G30" s="52">
        <f>G31+G32+G33+G34+G35+G36+G37</f>
        <v>17.44862115</v>
      </c>
      <c r="H30" s="35">
        <f>H31+H32+H33+H34+H35+H36+H37</f>
        <v>0</v>
      </c>
      <c r="I30" s="35">
        <f>I31+I32+I33+I34+I35+I36+I37</f>
        <v>0</v>
      </c>
      <c r="J30" s="100" t="s">
        <v>198</v>
      </c>
      <c r="K30" s="100"/>
      <c r="L30" s="100"/>
      <c r="M30" s="87" t="s">
        <v>208</v>
      </c>
      <c r="N30" s="87"/>
      <c r="O30" s="87"/>
      <c r="P30" s="87"/>
      <c r="Q30" s="87"/>
    </row>
    <row r="31" spans="1:17" ht="17.25" customHeight="1">
      <c r="A31" s="64"/>
      <c r="B31" s="95"/>
      <c r="C31" s="70"/>
      <c r="D31" s="32">
        <v>2015</v>
      </c>
      <c r="E31" s="35">
        <f aca="true" t="shared" si="1" ref="E31:E37">F31+G31+H31+I31</f>
        <v>11.3069</v>
      </c>
      <c r="F31" s="35">
        <v>11.3069</v>
      </c>
      <c r="G31" s="35">
        <v>0</v>
      </c>
      <c r="H31" s="35">
        <v>0</v>
      </c>
      <c r="I31" s="35">
        <v>0</v>
      </c>
      <c r="J31" s="79">
        <v>85.36</v>
      </c>
      <c r="K31" s="79"/>
      <c r="L31" s="79"/>
      <c r="M31" s="92" t="s">
        <v>199</v>
      </c>
      <c r="N31" s="92"/>
      <c r="O31" s="92"/>
      <c r="P31" s="92"/>
      <c r="Q31" s="92"/>
    </row>
    <row r="32" spans="1:17" ht="17.25" customHeight="1">
      <c r="A32" s="64"/>
      <c r="B32" s="95"/>
      <c r="C32" s="70"/>
      <c r="D32" s="32">
        <v>2016</v>
      </c>
      <c r="E32" s="35">
        <f t="shared" si="1"/>
        <v>2.7353</v>
      </c>
      <c r="F32" s="35">
        <v>2.7353</v>
      </c>
      <c r="G32" s="35">
        <v>0</v>
      </c>
      <c r="H32" s="35">
        <v>0</v>
      </c>
      <c r="I32" s="35">
        <v>0</v>
      </c>
      <c r="J32" s="79">
        <v>83.78</v>
      </c>
      <c r="K32" s="79"/>
      <c r="L32" s="79"/>
      <c r="M32" s="92" t="s">
        <v>200</v>
      </c>
      <c r="N32" s="92"/>
      <c r="O32" s="92"/>
      <c r="P32" s="92"/>
      <c r="Q32" s="92"/>
    </row>
    <row r="33" spans="1:17" ht="17.25" customHeight="1">
      <c r="A33" s="64"/>
      <c r="B33" s="95"/>
      <c r="C33" s="70"/>
      <c r="D33" s="32">
        <v>2017</v>
      </c>
      <c r="E33" s="35">
        <f t="shared" si="1"/>
        <v>12.7539</v>
      </c>
      <c r="F33" s="35">
        <f>12.4808+0.138-0.08+1.0151-0.8</f>
        <v>12.7539</v>
      </c>
      <c r="G33" s="35">
        <v>0</v>
      </c>
      <c r="H33" s="35">
        <v>0</v>
      </c>
      <c r="I33" s="35">
        <v>0</v>
      </c>
      <c r="J33" s="79">
        <v>84.19</v>
      </c>
      <c r="K33" s="79"/>
      <c r="L33" s="79"/>
      <c r="M33" s="92" t="s">
        <v>201</v>
      </c>
      <c r="N33" s="92"/>
      <c r="O33" s="92"/>
      <c r="P33" s="92"/>
      <c r="Q33" s="92"/>
    </row>
    <row r="34" spans="1:17" ht="17.25" customHeight="1">
      <c r="A34" s="64"/>
      <c r="B34" s="95"/>
      <c r="C34" s="70"/>
      <c r="D34" s="32">
        <v>2018</v>
      </c>
      <c r="E34" s="52">
        <f t="shared" si="1"/>
        <v>25.089576440000002</v>
      </c>
      <c r="F34" s="52">
        <f>12.6188-4.68-0.29784471</f>
        <v>7.640955290000001</v>
      </c>
      <c r="G34" s="52">
        <f>18.64-1.19137885</f>
        <v>17.44862115</v>
      </c>
      <c r="H34" s="35">
        <v>0</v>
      </c>
      <c r="I34" s="35">
        <v>0</v>
      </c>
      <c r="J34" s="79">
        <v>84.77</v>
      </c>
      <c r="K34" s="79"/>
      <c r="L34" s="79"/>
      <c r="M34" s="92" t="s">
        <v>202</v>
      </c>
      <c r="N34" s="92"/>
      <c r="O34" s="92"/>
      <c r="P34" s="92"/>
      <c r="Q34" s="92"/>
    </row>
    <row r="35" spans="1:17" ht="17.25" customHeight="1">
      <c r="A35" s="64"/>
      <c r="B35" s="95"/>
      <c r="C35" s="70"/>
      <c r="D35" s="32">
        <v>2019</v>
      </c>
      <c r="E35" s="35">
        <f t="shared" si="1"/>
        <v>8.039100000000001</v>
      </c>
      <c r="F35" s="35">
        <f>12.6188-4.006-0.2799-0.2938</f>
        <v>8.039100000000001</v>
      </c>
      <c r="G35" s="35">
        <v>0</v>
      </c>
      <c r="H35" s="35">
        <v>0</v>
      </c>
      <c r="I35" s="35">
        <v>0</v>
      </c>
      <c r="J35" s="79">
        <v>84.79</v>
      </c>
      <c r="K35" s="79"/>
      <c r="L35" s="79"/>
      <c r="M35" s="92" t="s">
        <v>203</v>
      </c>
      <c r="N35" s="92"/>
      <c r="O35" s="92"/>
      <c r="P35" s="92"/>
      <c r="Q35" s="92"/>
    </row>
    <row r="36" spans="1:17" ht="15">
      <c r="A36" s="64"/>
      <c r="B36" s="95"/>
      <c r="C36" s="70"/>
      <c r="D36" s="32">
        <v>2020</v>
      </c>
      <c r="E36" s="35">
        <f t="shared" si="1"/>
        <v>12.6188</v>
      </c>
      <c r="F36" s="35">
        <v>12.6188</v>
      </c>
      <c r="G36" s="35">
        <v>0</v>
      </c>
      <c r="H36" s="35">
        <v>0</v>
      </c>
      <c r="I36" s="35">
        <v>0</v>
      </c>
      <c r="J36" s="79">
        <v>84.75</v>
      </c>
      <c r="K36" s="79"/>
      <c r="L36" s="79"/>
      <c r="M36" s="92" t="s">
        <v>204</v>
      </c>
      <c r="N36" s="92"/>
      <c r="O36" s="92"/>
      <c r="P36" s="92"/>
      <c r="Q36" s="92"/>
    </row>
    <row r="37" spans="1:17" ht="28.5" customHeight="1">
      <c r="A37" s="65"/>
      <c r="B37" s="96"/>
      <c r="C37" s="71"/>
      <c r="D37" s="32">
        <v>2021</v>
      </c>
      <c r="E37" s="35">
        <f t="shared" si="1"/>
        <v>12.6188</v>
      </c>
      <c r="F37" s="35">
        <v>12.6188</v>
      </c>
      <c r="G37" s="35">
        <f>G36</f>
        <v>0</v>
      </c>
      <c r="H37" s="35">
        <f>H36</f>
        <v>0</v>
      </c>
      <c r="I37" s="35">
        <f>I36</f>
        <v>0</v>
      </c>
      <c r="J37" s="72">
        <f>J36</f>
        <v>84.75</v>
      </c>
      <c r="K37" s="73"/>
      <c r="L37" s="74"/>
      <c r="M37" s="97" t="str">
        <f>M36</f>
        <v>17,78 (*1,0)</v>
      </c>
      <c r="N37" s="98"/>
      <c r="O37" s="98"/>
      <c r="P37" s="98"/>
      <c r="Q37" s="99"/>
    </row>
    <row r="38" spans="1:17" ht="170.25" customHeight="1">
      <c r="A38" s="63" t="s">
        <v>162</v>
      </c>
      <c r="B38" s="94" t="s">
        <v>126</v>
      </c>
      <c r="C38" s="69" t="s">
        <v>232</v>
      </c>
      <c r="D38" s="42" t="s">
        <v>19</v>
      </c>
      <c r="E38" s="43">
        <f>E39+E40+E41+E42+E43+E44+E45</f>
        <v>23152.966099999998</v>
      </c>
      <c r="F38" s="35">
        <f>F39+F40+F41+F42+F43+F44+F45</f>
        <v>0</v>
      </c>
      <c r="G38" s="35">
        <f>G39+G40+G41+G42+G43+G44+G45</f>
        <v>23152.966099999998</v>
      </c>
      <c r="H38" s="35">
        <f>H39+H40+H41+H42+H43+H44+H45</f>
        <v>0</v>
      </c>
      <c r="I38" s="35">
        <f>I39+I40+I41+I42+I43+I44+I45</f>
        <v>0</v>
      </c>
      <c r="J38" s="45" t="s">
        <v>198</v>
      </c>
      <c r="K38" s="45" t="s">
        <v>227</v>
      </c>
      <c r="L38" s="46" t="s">
        <v>209</v>
      </c>
      <c r="M38" s="46" t="s">
        <v>210</v>
      </c>
      <c r="N38" s="46" t="s">
        <v>211</v>
      </c>
      <c r="O38" s="36" t="s">
        <v>206</v>
      </c>
      <c r="P38" s="36" t="s">
        <v>231</v>
      </c>
      <c r="Q38" s="46" t="s">
        <v>225</v>
      </c>
    </row>
    <row r="39" spans="1:17" ht="15">
      <c r="A39" s="64"/>
      <c r="B39" s="95"/>
      <c r="C39" s="70"/>
      <c r="D39" s="32">
        <v>2015</v>
      </c>
      <c r="E39" s="35">
        <f aca="true" t="shared" si="2" ref="E39:E45">F39+G39+H39+I39</f>
        <v>2709.4527</v>
      </c>
      <c r="F39" s="35">
        <v>0</v>
      </c>
      <c r="G39" s="35">
        <v>2709.4527</v>
      </c>
      <c r="H39" s="35">
        <v>0</v>
      </c>
      <c r="I39" s="35">
        <v>0</v>
      </c>
      <c r="J39" s="39">
        <v>85.36</v>
      </c>
      <c r="K39" s="41">
        <v>90</v>
      </c>
      <c r="L39" s="40">
        <v>1.2</v>
      </c>
      <c r="M39" s="41">
        <v>98.8</v>
      </c>
      <c r="N39" s="41">
        <v>36.3</v>
      </c>
      <c r="O39" s="41" t="s">
        <v>205</v>
      </c>
      <c r="P39" s="40" t="s">
        <v>145</v>
      </c>
      <c r="Q39" s="40" t="s">
        <v>145</v>
      </c>
    </row>
    <row r="40" spans="1:17" ht="15">
      <c r="A40" s="64"/>
      <c r="B40" s="95"/>
      <c r="C40" s="70"/>
      <c r="D40" s="32">
        <v>2016</v>
      </c>
      <c r="E40" s="35">
        <f t="shared" si="2"/>
        <v>2819.7983</v>
      </c>
      <c r="F40" s="35">
        <v>0</v>
      </c>
      <c r="G40" s="35">
        <v>2819.7983</v>
      </c>
      <c r="H40" s="35">
        <v>0</v>
      </c>
      <c r="I40" s="35">
        <v>0</v>
      </c>
      <c r="J40" s="39">
        <v>83.78</v>
      </c>
      <c r="K40" s="41">
        <v>100</v>
      </c>
      <c r="L40" s="40">
        <v>1.1</v>
      </c>
      <c r="M40" s="41">
        <v>98.9</v>
      </c>
      <c r="N40" s="41">
        <v>35.5</v>
      </c>
      <c r="O40" s="41" t="s">
        <v>228</v>
      </c>
      <c r="P40" s="40">
        <v>100</v>
      </c>
      <c r="Q40" s="40">
        <v>99.2</v>
      </c>
    </row>
    <row r="41" spans="1:17" ht="15">
      <c r="A41" s="64"/>
      <c r="B41" s="95"/>
      <c r="C41" s="70"/>
      <c r="D41" s="32">
        <v>2017</v>
      </c>
      <c r="E41" s="35">
        <f t="shared" si="2"/>
        <v>2931.5052000000005</v>
      </c>
      <c r="F41" s="35">
        <v>0</v>
      </c>
      <c r="G41" s="35">
        <f>2884.0535+19.6939+2.8854+5.9203+7.7877+11.1487+0.0157</f>
        <v>2931.5052000000005</v>
      </c>
      <c r="H41" s="35">
        <v>0</v>
      </c>
      <c r="I41" s="35">
        <v>0</v>
      </c>
      <c r="J41" s="39">
        <v>84.19</v>
      </c>
      <c r="K41" s="41">
        <v>100</v>
      </c>
      <c r="L41" s="40" t="s">
        <v>145</v>
      </c>
      <c r="M41" s="40" t="s">
        <v>145</v>
      </c>
      <c r="N41" s="40">
        <v>35.4</v>
      </c>
      <c r="O41" s="41" t="s">
        <v>244</v>
      </c>
      <c r="P41" s="41">
        <v>100</v>
      </c>
      <c r="Q41" s="47" t="s">
        <v>226</v>
      </c>
    </row>
    <row r="42" spans="1:17" ht="15">
      <c r="A42" s="64"/>
      <c r="B42" s="95"/>
      <c r="C42" s="70"/>
      <c r="D42" s="32">
        <v>2018</v>
      </c>
      <c r="E42" s="35">
        <f t="shared" si="2"/>
        <v>3341.0296000000003</v>
      </c>
      <c r="F42" s="35">
        <v>0</v>
      </c>
      <c r="G42" s="35">
        <f>3233.9858+12.960867+0.261433+15.398901+0.861999+17.2981+4.8551+26.8422+28.5652</f>
        <v>3341.0296000000003</v>
      </c>
      <c r="H42" s="35">
        <v>0</v>
      </c>
      <c r="I42" s="35">
        <v>0</v>
      </c>
      <c r="J42" s="39">
        <v>84.77</v>
      </c>
      <c r="K42" s="41">
        <v>100</v>
      </c>
      <c r="L42" s="40" t="s">
        <v>145</v>
      </c>
      <c r="M42" s="40" t="s">
        <v>145</v>
      </c>
      <c r="N42" s="41">
        <v>39.6</v>
      </c>
      <c r="O42" s="41" t="s">
        <v>248</v>
      </c>
      <c r="P42" s="41">
        <v>100</v>
      </c>
      <c r="Q42" s="47" t="s">
        <v>226</v>
      </c>
    </row>
    <row r="43" spans="1:17" ht="15">
      <c r="A43" s="64"/>
      <c r="B43" s="95"/>
      <c r="C43" s="70"/>
      <c r="D43" s="32">
        <v>2019</v>
      </c>
      <c r="E43" s="35">
        <f t="shared" si="2"/>
        <v>3621.4321999999997</v>
      </c>
      <c r="F43" s="35">
        <v>0</v>
      </c>
      <c r="G43" s="35">
        <f>3525.2869+0.9694+7.8005+2.7031+0.7364+3.2253+31.0272+49.6834</f>
        <v>3621.4321999999997</v>
      </c>
      <c r="H43" s="35">
        <v>0</v>
      </c>
      <c r="I43" s="35">
        <v>0</v>
      </c>
      <c r="J43" s="39">
        <v>84.79</v>
      </c>
      <c r="K43" s="41">
        <v>100</v>
      </c>
      <c r="L43" s="40" t="s">
        <v>145</v>
      </c>
      <c r="M43" s="40" t="s">
        <v>145</v>
      </c>
      <c r="N43" s="41">
        <v>41.3</v>
      </c>
      <c r="O43" s="41" t="s">
        <v>265</v>
      </c>
      <c r="P43" s="41">
        <v>100</v>
      </c>
      <c r="Q43" s="47" t="s">
        <v>226</v>
      </c>
    </row>
    <row r="44" spans="1:17" ht="15">
      <c r="A44" s="64"/>
      <c r="B44" s="95"/>
      <c r="C44" s="70"/>
      <c r="D44" s="32">
        <v>2020</v>
      </c>
      <c r="E44" s="35">
        <f t="shared" si="2"/>
        <v>3738.716</v>
      </c>
      <c r="F44" s="35">
        <v>0</v>
      </c>
      <c r="G44" s="35">
        <v>3738.716</v>
      </c>
      <c r="H44" s="35">
        <v>0</v>
      </c>
      <c r="I44" s="35">
        <v>0</v>
      </c>
      <c r="J44" s="39">
        <v>84.75</v>
      </c>
      <c r="K44" s="41">
        <v>100</v>
      </c>
      <c r="L44" s="40" t="s">
        <v>145</v>
      </c>
      <c r="M44" s="40" t="s">
        <v>145</v>
      </c>
      <c r="N44" s="41">
        <v>40.6</v>
      </c>
      <c r="O44" s="41" t="s">
        <v>265</v>
      </c>
      <c r="P44" s="38">
        <v>100</v>
      </c>
      <c r="Q44" s="47" t="s">
        <v>226</v>
      </c>
    </row>
    <row r="45" spans="1:17" ht="15">
      <c r="A45" s="65"/>
      <c r="B45" s="96"/>
      <c r="C45" s="71"/>
      <c r="D45" s="32">
        <v>2021</v>
      </c>
      <c r="E45" s="35">
        <f t="shared" si="2"/>
        <v>3991.0321</v>
      </c>
      <c r="F45" s="35">
        <f aca="true" t="shared" si="3" ref="F45:K45">F44</f>
        <v>0</v>
      </c>
      <c r="G45" s="35">
        <v>3991.0321</v>
      </c>
      <c r="H45" s="35">
        <f t="shared" si="3"/>
        <v>0</v>
      </c>
      <c r="I45" s="35">
        <f t="shared" si="3"/>
        <v>0</v>
      </c>
      <c r="J45" s="39">
        <f t="shared" si="3"/>
        <v>84.75</v>
      </c>
      <c r="K45" s="41">
        <f t="shared" si="3"/>
        <v>100</v>
      </c>
      <c r="L45" s="41" t="str">
        <f aca="true" t="shared" si="4" ref="L45:Q45">L44</f>
        <v>-</v>
      </c>
      <c r="M45" s="41" t="str">
        <f t="shared" si="4"/>
        <v>-</v>
      </c>
      <c r="N45" s="41">
        <v>41.8</v>
      </c>
      <c r="O45" s="41" t="s">
        <v>265</v>
      </c>
      <c r="P45" s="41">
        <f t="shared" si="4"/>
        <v>100</v>
      </c>
      <c r="Q45" s="41" t="str">
        <f t="shared" si="4"/>
        <v>не менее 99</v>
      </c>
    </row>
    <row r="46" spans="1:17" ht="15">
      <c r="A46" s="63" t="s">
        <v>163</v>
      </c>
      <c r="B46" s="94" t="s">
        <v>127</v>
      </c>
      <c r="C46" s="69" t="s">
        <v>23</v>
      </c>
      <c r="D46" s="42" t="s">
        <v>19</v>
      </c>
      <c r="E46" s="35">
        <f>E47+E48+E49+E50+E51+E52+E53</f>
        <v>22.438188</v>
      </c>
      <c r="F46" s="35">
        <f>F47+F48+F49+F50+F51+F52+F53</f>
        <v>0</v>
      </c>
      <c r="G46" s="35">
        <f>G47+G48+G49+G50+G51+G52+G53</f>
        <v>22.438188</v>
      </c>
      <c r="H46" s="35">
        <f>H47+H48+H49+H50+H51+H52+H53</f>
        <v>0</v>
      </c>
      <c r="I46" s="35">
        <f>I47+I48+I49+I50+I51+I52+I53</f>
        <v>0</v>
      </c>
      <c r="J46" s="116" t="s">
        <v>145</v>
      </c>
      <c r="K46" s="117"/>
      <c r="L46" s="117"/>
      <c r="M46" s="117"/>
      <c r="N46" s="117"/>
      <c r="O46" s="117"/>
      <c r="P46" s="117"/>
      <c r="Q46" s="118"/>
    </row>
    <row r="47" spans="1:17" ht="15">
      <c r="A47" s="64"/>
      <c r="B47" s="95"/>
      <c r="C47" s="70"/>
      <c r="D47" s="32">
        <v>2015</v>
      </c>
      <c r="E47" s="35">
        <f aca="true" t="shared" si="5" ref="E47:E53">F47+G47+H47+I47</f>
        <v>6.1978</v>
      </c>
      <c r="F47" s="35">
        <v>0</v>
      </c>
      <c r="G47" s="35">
        <v>6.1978</v>
      </c>
      <c r="H47" s="35">
        <v>0</v>
      </c>
      <c r="I47" s="35">
        <v>0</v>
      </c>
      <c r="J47" s="119"/>
      <c r="K47" s="120"/>
      <c r="L47" s="120"/>
      <c r="M47" s="120"/>
      <c r="N47" s="120"/>
      <c r="O47" s="120"/>
      <c r="P47" s="120"/>
      <c r="Q47" s="121"/>
    </row>
    <row r="48" spans="1:17" ht="15">
      <c r="A48" s="64"/>
      <c r="B48" s="95"/>
      <c r="C48" s="70"/>
      <c r="D48" s="32">
        <v>2016</v>
      </c>
      <c r="E48" s="35">
        <f t="shared" si="5"/>
        <v>6.3373</v>
      </c>
      <c r="F48" s="35">
        <v>0</v>
      </c>
      <c r="G48" s="35">
        <v>6.3373</v>
      </c>
      <c r="H48" s="35">
        <v>0</v>
      </c>
      <c r="I48" s="35">
        <v>0</v>
      </c>
      <c r="J48" s="119"/>
      <c r="K48" s="120"/>
      <c r="L48" s="120"/>
      <c r="M48" s="120"/>
      <c r="N48" s="120"/>
      <c r="O48" s="120"/>
      <c r="P48" s="120"/>
      <c r="Q48" s="121"/>
    </row>
    <row r="49" spans="1:17" ht="15">
      <c r="A49" s="64"/>
      <c r="B49" s="95"/>
      <c r="C49" s="70"/>
      <c r="D49" s="32">
        <v>2017</v>
      </c>
      <c r="E49" s="35">
        <f t="shared" si="5"/>
        <v>5.8963</v>
      </c>
      <c r="F49" s="35">
        <v>0</v>
      </c>
      <c r="G49" s="35">
        <f>6.6178+0.0641+0.0283-0.6891-0.1248</f>
        <v>5.8963</v>
      </c>
      <c r="H49" s="35">
        <v>0</v>
      </c>
      <c r="I49" s="35">
        <v>0</v>
      </c>
      <c r="J49" s="119"/>
      <c r="K49" s="120"/>
      <c r="L49" s="120"/>
      <c r="M49" s="120"/>
      <c r="N49" s="120"/>
      <c r="O49" s="120"/>
      <c r="P49" s="120"/>
      <c r="Q49" s="121"/>
    </row>
    <row r="50" spans="1:17" ht="15">
      <c r="A50" s="64"/>
      <c r="B50" s="95"/>
      <c r="C50" s="70"/>
      <c r="D50" s="32">
        <v>2018</v>
      </c>
      <c r="E50" s="35">
        <f t="shared" si="5"/>
        <v>4.006788</v>
      </c>
      <c r="F50" s="35">
        <v>0</v>
      </c>
      <c r="G50" s="35">
        <f>6.342+0.1115-2.4445-0.0022-0.000012</f>
        <v>4.006788</v>
      </c>
      <c r="H50" s="35">
        <v>0</v>
      </c>
      <c r="I50" s="35">
        <v>0</v>
      </c>
      <c r="J50" s="119"/>
      <c r="K50" s="120"/>
      <c r="L50" s="120"/>
      <c r="M50" s="120"/>
      <c r="N50" s="120"/>
      <c r="O50" s="120"/>
      <c r="P50" s="120"/>
      <c r="Q50" s="121"/>
    </row>
    <row r="51" spans="1:17" ht="15">
      <c r="A51" s="64"/>
      <c r="B51" s="95"/>
      <c r="C51" s="70"/>
      <c r="D51" s="32">
        <v>2019</v>
      </c>
      <c r="E51" s="35">
        <f t="shared" si="5"/>
        <v>0</v>
      </c>
      <c r="F51" s="35">
        <v>0</v>
      </c>
      <c r="G51" s="35">
        <v>0</v>
      </c>
      <c r="H51" s="35">
        <v>0</v>
      </c>
      <c r="I51" s="35">
        <v>0</v>
      </c>
      <c r="J51" s="119"/>
      <c r="K51" s="120"/>
      <c r="L51" s="120"/>
      <c r="M51" s="120"/>
      <c r="N51" s="120"/>
      <c r="O51" s="120"/>
      <c r="P51" s="120"/>
      <c r="Q51" s="121"/>
    </row>
    <row r="52" spans="1:17" ht="15">
      <c r="A52" s="64"/>
      <c r="B52" s="95"/>
      <c r="C52" s="70"/>
      <c r="D52" s="32">
        <v>2020</v>
      </c>
      <c r="E52" s="35">
        <f t="shared" si="5"/>
        <v>0</v>
      </c>
      <c r="F52" s="35">
        <v>0</v>
      </c>
      <c r="G52" s="35">
        <v>0</v>
      </c>
      <c r="H52" s="35">
        <v>0</v>
      </c>
      <c r="I52" s="35">
        <v>0</v>
      </c>
      <c r="J52" s="119"/>
      <c r="K52" s="120"/>
      <c r="L52" s="120"/>
      <c r="M52" s="120"/>
      <c r="N52" s="120"/>
      <c r="O52" s="120"/>
      <c r="P52" s="120"/>
      <c r="Q52" s="121"/>
    </row>
    <row r="53" spans="1:17" ht="15">
      <c r="A53" s="65"/>
      <c r="B53" s="96"/>
      <c r="C53" s="71"/>
      <c r="D53" s="32">
        <v>2021</v>
      </c>
      <c r="E53" s="35">
        <f t="shared" si="5"/>
        <v>0</v>
      </c>
      <c r="F53" s="35">
        <f>F52</f>
        <v>0</v>
      </c>
      <c r="G53" s="35">
        <v>0</v>
      </c>
      <c r="H53" s="35">
        <f>H52</f>
        <v>0</v>
      </c>
      <c r="I53" s="35">
        <f>I52</f>
        <v>0</v>
      </c>
      <c r="J53" s="122"/>
      <c r="K53" s="123"/>
      <c r="L53" s="123"/>
      <c r="M53" s="123"/>
      <c r="N53" s="123"/>
      <c r="O53" s="123"/>
      <c r="P53" s="123"/>
      <c r="Q53" s="124"/>
    </row>
    <row r="54" spans="1:17" ht="63" customHeight="1">
      <c r="A54" s="63" t="s">
        <v>164</v>
      </c>
      <c r="B54" s="94" t="s">
        <v>128</v>
      </c>
      <c r="C54" s="69" t="s">
        <v>232</v>
      </c>
      <c r="D54" s="42" t="s">
        <v>19</v>
      </c>
      <c r="E54" s="52">
        <f>E55+E56+E57+E58+E59+E60+E61</f>
        <v>2275.12888798</v>
      </c>
      <c r="F54" s="52">
        <f>F55+F56+F57+F58+F59+F60+F61</f>
        <v>2262.39394798</v>
      </c>
      <c r="G54" s="35">
        <f>G55+G56+G57+G58+G59+G60+G61</f>
        <v>12.734940000000002</v>
      </c>
      <c r="H54" s="35">
        <f>H55+H56+H57+H58+H59+H60+H61</f>
        <v>0</v>
      </c>
      <c r="I54" s="35">
        <f>I55+I56+I57+I58+I59+I60+I61</f>
        <v>0</v>
      </c>
      <c r="J54" s="100" t="s">
        <v>212</v>
      </c>
      <c r="K54" s="100"/>
      <c r="L54" s="100"/>
      <c r="M54" s="87" t="s">
        <v>211</v>
      </c>
      <c r="N54" s="87"/>
      <c r="O54" s="87" t="s">
        <v>215</v>
      </c>
      <c r="P54" s="87"/>
      <c r="Q54" s="87"/>
    </row>
    <row r="55" spans="1:17" ht="15">
      <c r="A55" s="64"/>
      <c r="B55" s="95"/>
      <c r="C55" s="70"/>
      <c r="D55" s="32">
        <v>2015</v>
      </c>
      <c r="E55" s="35">
        <f aca="true" t="shared" si="6" ref="E55:E61">F55+G55+H55+I55</f>
        <v>307.1108</v>
      </c>
      <c r="F55" s="35">
        <v>307.1108</v>
      </c>
      <c r="G55" s="35">
        <v>0</v>
      </c>
      <c r="H55" s="35">
        <v>0</v>
      </c>
      <c r="I55" s="35">
        <v>0</v>
      </c>
      <c r="J55" s="83" t="s">
        <v>213</v>
      </c>
      <c r="K55" s="83"/>
      <c r="L55" s="83"/>
      <c r="M55" s="111">
        <v>36.3</v>
      </c>
      <c r="N55" s="111"/>
      <c r="O55" s="92" t="s">
        <v>224</v>
      </c>
      <c r="P55" s="92"/>
      <c r="Q55" s="92"/>
    </row>
    <row r="56" spans="1:17" ht="15">
      <c r="A56" s="64"/>
      <c r="B56" s="95"/>
      <c r="C56" s="70"/>
      <c r="D56" s="32">
        <v>2016</v>
      </c>
      <c r="E56" s="35">
        <f t="shared" si="6"/>
        <v>297.1955</v>
      </c>
      <c r="F56" s="35">
        <v>297.1955</v>
      </c>
      <c r="G56" s="35">
        <v>0</v>
      </c>
      <c r="H56" s="35">
        <v>0</v>
      </c>
      <c r="I56" s="35">
        <v>0</v>
      </c>
      <c r="J56" s="83" t="s">
        <v>214</v>
      </c>
      <c r="K56" s="83"/>
      <c r="L56" s="83"/>
      <c r="M56" s="111">
        <v>35.5</v>
      </c>
      <c r="N56" s="111"/>
      <c r="O56" s="108" t="s">
        <v>229</v>
      </c>
      <c r="P56" s="109"/>
      <c r="Q56" s="110"/>
    </row>
    <row r="57" spans="1:17" ht="15">
      <c r="A57" s="64"/>
      <c r="B57" s="95"/>
      <c r="C57" s="70"/>
      <c r="D57" s="32">
        <v>2017</v>
      </c>
      <c r="E57" s="52">
        <f t="shared" si="6"/>
        <v>298.28714505000005</v>
      </c>
      <c r="F57" s="52">
        <f>289.6815-0.0911-0.1074-0.0252-4.7045-0.7343+1.0403-0.4273-0.6405-0.3998-1.4138+0.8041+0.0891+0.0018+0.7154+0.16+0.1895+0.2307+13.19242853+0.72621652</f>
        <v>298.28714505000005</v>
      </c>
      <c r="G57" s="35">
        <v>0</v>
      </c>
      <c r="H57" s="35">
        <v>0</v>
      </c>
      <c r="I57" s="35">
        <v>0</v>
      </c>
      <c r="J57" s="83" t="s">
        <v>230</v>
      </c>
      <c r="K57" s="83"/>
      <c r="L57" s="83"/>
      <c r="M57" s="106">
        <v>35.4</v>
      </c>
      <c r="N57" s="106"/>
      <c r="O57" s="108" t="s">
        <v>245</v>
      </c>
      <c r="P57" s="109"/>
      <c r="Q57" s="110"/>
    </row>
    <row r="58" spans="1:17" ht="15">
      <c r="A58" s="64"/>
      <c r="B58" s="95"/>
      <c r="C58" s="70"/>
      <c r="D58" s="32">
        <v>2018</v>
      </c>
      <c r="E58" s="52">
        <f t="shared" si="6"/>
        <v>355.79014793</v>
      </c>
      <c r="F58" s="52">
        <f>343.63874-0.0502+0.072333+0.081977-0.59628445-0.00475764+1-0.11435007-0.020527-0.21676379-0.009354-0.07806512+0.2503-0.01975+5.008807+0.233193</f>
        <v>349.17529793</v>
      </c>
      <c r="G58" s="35">
        <f>3.68296+2.93189</f>
        <v>6.614850000000001</v>
      </c>
      <c r="H58" s="35">
        <v>0</v>
      </c>
      <c r="I58" s="35">
        <v>0</v>
      </c>
      <c r="J58" s="83" t="s">
        <v>230</v>
      </c>
      <c r="K58" s="83"/>
      <c r="L58" s="83"/>
      <c r="M58" s="104">
        <v>39.6</v>
      </c>
      <c r="N58" s="105"/>
      <c r="O58" s="92" t="s">
        <v>249</v>
      </c>
      <c r="P58" s="92"/>
      <c r="Q58" s="92"/>
    </row>
    <row r="59" spans="1:17" ht="15">
      <c r="A59" s="64"/>
      <c r="B59" s="95"/>
      <c r="C59" s="70"/>
      <c r="D59" s="32">
        <v>2019</v>
      </c>
      <c r="E59" s="35">
        <f t="shared" si="6"/>
        <v>332.9768089999999</v>
      </c>
      <c r="F59" s="52">
        <f>329.21811-1.2669+1.2641+0.0359+0.0539-0.00114+0.9209+0.0195-0.00376-5.8953-0.00337-0.00193-0.00635-0.017037-0.004404-0.0088-0.0138-0.0003+0.2+0.2+2.1674</f>
        <v>326.8567189999999</v>
      </c>
      <c r="G59" s="35">
        <v>6.12009</v>
      </c>
      <c r="H59" s="35">
        <v>0</v>
      </c>
      <c r="I59" s="35">
        <v>0</v>
      </c>
      <c r="J59" s="83" t="s">
        <v>230</v>
      </c>
      <c r="K59" s="83"/>
      <c r="L59" s="83"/>
      <c r="M59" s="104">
        <v>41.3</v>
      </c>
      <c r="N59" s="105"/>
      <c r="O59" s="92" t="s">
        <v>266</v>
      </c>
      <c r="P59" s="92"/>
      <c r="Q59" s="92"/>
    </row>
    <row r="60" spans="1:17" ht="15">
      <c r="A60" s="64"/>
      <c r="B60" s="95"/>
      <c r="C60" s="70"/>
      <c r="D60" s="32">
        <v>2020</v>
      </c>
      <c r="E60" s="35">
        <f t="shared" si="6"/>
        <v>340.665193</v>
      </c>
      <c r="F60" s="52">
        <f>340.7418+0.0544-0.00116-0.00381-0.007742-0.003162-0.01098-0.021823-0.01583-0.0282-0.0383</f>
        <v>340.665193</v>
      </c>
      <c r="G60" s="35">
        <v>0</v>
      </c>
      <c r="H60" s="35">
        <v>0</v>
      </c>
      <c r="I60" s="35">
        <v>0</v>
      </c>
      <c r="J60" s="83" t="s">
        <v>230</v>
      </c>
      <c r="K60" s="83"/>
      <c r="L60" s="83"/>
      <c r="M60" s="104">
        <v>40.6</v>
      </c>
      <c r="N60" s="105"/>
      <c r="O60" s="92" t="s">
        <v>266</v>
      </c>
      <c r="P60" s="92"/>
      <c r="Q60" s="92"/>
    </row>
    <row r="61" spans="1:17" ht="28.5" customHeight="1">
      <c r="A61" s="65"/>
      <c r="B61" s="96"/>
      <c r="C61" s="71"/>
      <c r="D61" s="32">
        <v>2021</v>
      </c>
      <c r="E61" s="35">
        <f t="shared" si="6"/>
        <v>343.10329299999995</v>
      </c>
      <c r="F61" s="52">
        <f>343.1799+0.0544-0.00116-0.00381-0.007742-0.003162-0.01098-0.021823-0.01583-0.0282-0.0383</f>
        <v>343.10329299999995</v>
      </c>
      <c r="G61" s="35">
        <f>G60</f>
        <v>0</v>
      </c>
      <c r="H61" s="35">
        <f>H60</f>
        <v>0</v>
      </c>
      <c r="I61" s="35">
        <f>I60</f>
        <v>0</v>
      </c>
      <c r="J61" s="83" t="s">
        <v>230</v>
      </c>
      <c r="K61" s="83"/>
      <c r="L61" s="83"/>
      <c r="M61" s="130">
        <v>41.8</v>
      </c>
      <c r="N61" s="131"/>
      <c r="O61" s="92" t="s">
        <v>266</v>
      </c>
      <c r="P61" s="92"/>
      <c r="Q61" s="92"/>
    </row>
    <row r="62" spans="1:17" ht="21.75" customHeight="1">
      <c r="A62" s="63" t="s">
        <v>165</v>
      </c>
      <c r="B62" s="94" t="s">
        <v>123</v>
      </c>
      <c r="C62" s="69" t="s">
        <v>232</v>
      </c>
      <c r="D62" s="42" t="s">
        <v>19</v>
      </c>
      <c r="E62" s="52">
        <f>E63+E64+E65+E66+E67+E68+E69</f>
        <v>2200.9204193799997</v>
      </c>
      <c r="F62" s="52">
        <f>F63+F64+F65+F66+F67+F68+F69</f>
        <v>2113.78654938</v>
      </c>
      <c r="G62" s="35">
        <f>G63+G64+G65+G66+G67+G68+G69</f>
        <v>87.13387</v>
      </c>
      <c r="H62" s="35">
        <f>H63+H64+H65+H66+H67+H68+H69</f>
        <v>0</v>
      </c>
      <c r="I62" s="35">
        <f>I63+I64+I65+I66+I67+I68+I69</f>
        <v>0</v>
      </c>
      <c r="J62" s="116" t="s">
        <v>145</v>
      </c>
      <c r="K62" s="117"/>
      <c r="L62" s="117"/>
      <c r="M62" s="117"/>
      <c r="N62" s="117"/>
      <c r="O62" s="117"/>
      <c r="P62" s="117"/>
      <c r="Q62" s="118"/>
    </row>
    <row r="63" spans="1:17" ht="20.25" customHeight="1">
      <c r="A63" s="64"/>
      <c r="B63" s="95"/>
      <c r="C63" s="70"/>
      <c r="D63" s="32">
        <v>2015</v>
      </c>
      <c r="E63" s="35">
        <f aca="true" t="shared" si="7" ref="E63:E69">F63+G63+H63+I63</f>
        <v>240.7932</v>
      </c>
      <c r="F63" s="35">
        <v>240.7932</v>
      </c>
      <c r="G63" s="35">
        <v>0</v>
      </c>
      <c r="H63" s="35">
        <v>0</v>
      </c>
      <c r="I63" s="35">
        <v>0</v>
      </c>
      <c r="J63" s="119"/>
      <c r="K63" s="120"/>
      <c r="L63" s="120"/>
      <c r="M63" s="120"/>
      <c r="N63" s="120"/>
      <c r="O63" s="120"/>
      <c r="P63" s="120"/>
      <c r="Q63" s="121"/>
    </row>
    <row r="64" spans="1:17" ht="20.25" customHeight="1">
      <c r="A64" s="64"/>
      <c r="B64" s="95"/>
      <c r="C64" s="70"/>
      <c r="D64" s="32">
        <v>2016</v>
      </c>
      <c r="E64" s="35">
        <f t="shared" si="7"/>
        <v>258.8682</v>
      </c>
      <c r="F64" s="35">
        <v>258.8682</v>
      </c>
      <c r="G64" s="35">
        <v>0</v>
      </c>
      <c r="H64" s="35">
        <v>0</v>
      </c>
      <c r="I64" s="35">
        <v>0</v>
      </c>
      <c r="J64" s="119"/>
      <c r="K64" s="120"/>
      <c r="L64" s="120"/>
      <c r="M64" s="120"/>
      <c r="N64" s="120"/>
      <c r="O64" s="120"/>
      <c r="P64" s="120"/>
      <c r="Q64" s="121"/>
    </row>
    <row r="65" spans="1:17" ht="20.25" customHeight="1">
      <c r="A65" s="64"/>
      <c r="B65" s="95"/>
      <c r="C65" s="70"/>
      <c r="D65" s="32">
        <v>2017</v>
      </c>
      <c r="E65" s="52">
        <f t="shared" si="7"/>
        <v>271.1160773799999</v>
      </c>
      <c r="F65" s="52">
        <f>260.4162+0.0911-0.6874+0.0053+1.0032-0.2672+0.1595+0.504+8.9328+0.68193318+0.2766442</f>
        <v>271.1160773799999</v>
      </c>
      <c r="G65" s="35">
        <v>0</v>
      </c>
      <c r="H65" s="35">
        <v>0</v>
      </c>
      <c r="I65" s="35">
        <v>0</v>
      </c>
      <c r="J65" s="119"/>
      <c r="K65" s="120"/>
      <c r="L65" s="120"/>
      <c r="M65" s="120"/>
      <c r="N65" s="120"/>
      <c r="O65" s="120"/>
      <c r="P65" s="120"/>
      <c r="Q65" s="121"/>
    </row>
    <row r="66" spans="1:17" ht="20.25" customHeight="1">
      <c r="A66" s="64"/>
      <c r="B66" s="95"/>
      <c r="C66" s="70"/>
      <c r="D66" s="32">
        <v>2018</v>
      </c>
      <c r="E66" s="35">
        <f t="shared" si="7"/>
        <v>303.583921</v>
      </c>
      <c r="F66" s="35">
        <f>263.26635-0.0446+0.10929+0.12386-3.4566-0.404898-0.0938+0.232019</f>
        <v>259.73162099999996</v>
      </c>
      <c r="G66" s="35">
        <f>34.12315+4.42985+3.4566+1.8427</f>
        <v>43.85230000000001</v>
      </c>
      <c r="H66" s="35">
        <v>0</v>
      </c>
      <c r="I66" s="35">
        <v>0</v>
      </c>
      <c r="J66" s="119"/>
      <c r="K66" s="120"/>
      <c r="L66" s="120"/>
      <c r="M66" s="120"/>
      <c r="N66" s="120"/>
      <c r="O66" s="120"/>
      <c r="P66" s="120"/>
      <c r="Q66" s="121"/>
    </row>
    <row r="67" spans="1:17" ht="20.25" customHeight="1">
      <c r="A67" s="64"/>
      <c r="B67" s="95"/>
      <c r="C67" s="70"/>
      <c r="D67" s="32">
        <v>2019</v>
      </c>
      <c r="E67" s="35">
        <f t="shared" si="7"/>
        <v>364.06554700000004</v>
      </c>
      <c r="F67" s="52">
        <f>313.58103+0.1776+0.2112-0.0539-0.1423+0.0906+0.00376+0.0053+0.2817+0.017037+0.0088+0.3108+0.0391+0.2692+3.76805+2.216</f>
        <v>320.78397700000005</v>
      </c>
      <c r="G67" s="35">
        <f>42.77057+0.511</f>
        <v>43.28157</v>
      </c>
      <c r="H67" s="35">
        <v>0</v>
      </c>
      <c r="I67" s="35">
        <v>0</v>
      </c>
      <c r="J67" s="119"/>
      <c r="K67" s="120"/>
      <c r="L67" s="120"/>
      <c r="M67" s="120"/>
      <c r="N67" s="120"/>
      <c r="O67" s="120"/>
      <c r="P67" s="120"/>
      <c r="Q67" s="121"/>
    </row>
    <row r="68" spans="1:17" ht="15">
      <c r="A68" s="64"/>
      <c r="B68" s="95"/>
      <c r="C68" s="70"/>
      <c r="D68" s="32">
        <v>2020</v>
      </c>
      <c r="E68" s="35">
        <f t="shared" si="7"/>
        <v>370.332937</v>
      </c>
      <c r="F68" s="52">
        <f>370.4671-0.0544-0.1445+0.00381+0.010904+0.021823+0.0282</f>
        <v>370.332937</v>
      </c>
      <c r="G68" s="35">
        <v>0</v>
      </c>
      <c r="H68" s="35">
        <v>0</v>
      </c>
      <c r="I68" s="35">
        <v>0</v>
      </c>
      <c r="J68" s="119"/>
      <c r="K68" s="120"/>
      <c r="L68" s="120"/>
      <c r="M68" s="120"/>
      <c r="N68" s="120"/>
      <c r="O68" s="120"/>
      <c r="P68" s="120"/>
      <c r="Q68" s="121"/>
    </row>
    <row r="69" spans="1:17" ht="43.5" customHeight="1">
      <c r="A69" s="65"/>
      <c r="B69" s="96"/>
      <c r="C69" s="71"/>
      <c r="D69" s="32">
        <v>2021</v>
      </c>
      <c r="E69" s="35">
        <f t="shared" si="7"/>
        <v>392.160537</v>
      </c>
      <c r="F69" s="52">
        <f>392.2947-0.0544-0.1445+0.00381+0.010904+0.021823+0.0282</f>
        <v>392.160537</v>
      </c>
      <c r="G69" s="35">
        <f>G68</f>
        <v>0</v>
      </c>
      <c r="H69" s="35">
        <f>H68</f>
        <v>0</v>
      </c>
      <c r="I69" s="35">
        <f>I68</f>
        <v>0</v>
      </c>
      <c r="J69" s="122"/>
      <c r="K69" s="123"/>
      <c r="L69" s="123"/>
      <c r="M69" s="123"/>
      <c r="N69" s="123"/>
      <c r="O69" s="123"/>
      <c r="P69" s="123"/>
      <c r="Q69" s="124"/>
    </row>
    <row r="70" spans="1:17" ht="51" customHeight="1">
      <c r="A70" s="63" t="s">
        <v>166</v>
      </c>
      <c r="B70" s="94" t="s">
        <v>135</v>
      </c>
      <c r="C70" s="69" t="s">
        <v>234</v>
      </c>
      <c r="D70" s="42" t="s">
        <v>19</v>
      </c>
      <c r="E70" s="52">
        <f>E71+E72+E73+E74+E75+E76+E77</f>
        <v>379.58033579999994</v>
      </c>
      <c r="F70" s="52">
        <f>F71+F72+F73+F74+F75+F76+F77</f>
        <v>46.326070800000004</v>
      </c>
      <c r="G70" s="35">
        <f>G71+G72+G73+G74+G75+G76+G77</f>
        <v>333.25426500000003</v>
      </c>
      <c r="H70" s="35">
        <f>H71+H72+H73+H74+H75+H76+H77</f>
        <v>0</v>
      </c>
      <c r="I70" s="35">
        <f>I71+I72+I73+I74+I75+I76+I77</f>
        <v>0</v>
      </c>
      <c r="J70" s="84" t="s">
        <v>238</v>
      </c>
      <c r="K70" s="84"/>
      <c r="L70" s="84"/>
      <c r="M70" s="84"/>
      <c r="N70" s="84" t="s">
        <v>239</v>
      </c>
      <c r="O70" s="84"/>
      <c r="P70" s="84"/>
      <c r="Q70" s="84"/>
    </row>
    <row r="71" spans="1:17" ht="18.75" customHeight="1">
      <c r="A71" s="64"/>
      <c r="B71" s="95"/>
      <c r="C71" s="70"/>
      <c r="D71" s="32">
        <v>2015</v>
      </c>
      <c r="E71" s="35">
        <f aca="true" t="shared" si="8" ref="E71:E77">F71+G71+H71+I71</f>
        <v>41.913</v>
      </c>
      <c r="F71" s="35">
        <f>7.0148+3.6735</f>
        <v>10.6883</v>
      </c>
      <c r="G71" s="35">
        <v>31.2247</v>
      </c>
      <c r="H71" s="35">
        <v>0</v>
      </c>
      <c r="I71" s="35">
        <v>0</v>
      </c>
      <c r="J71" s="83">
        <v>36.2</v>
      </c>
      <c r="K71" s="83"/>
      <c r="L71" s="83"/>
      <c r="M71" s="83"/>
      <c r="N71" s="83" t="s">
        <v>195</v>
      </c>
      <c r="O71" s="83"/>
      <c r="P71" s="83"/>
      <c r="Q71" s="83"/>
    </row>
    <row r="72" spans="1:17" ht="18.75" customHeight="1">
      <c r="A72" s="64"/>
      <c r="B72" s="95"/>
      <c r="C72" s="70"/>
      <c r="D72" s="32">
        <v>2016</v>
      </c>
      <c r="E72" s="35">
        <f t="shared" si="8"/>
        <v>43.924</v>
      </c>
      <c r="F72" s="35">
        <f>6.881+3.8618</f>
        <v>10.7428</v>
      </c>
      <c r="G72" s="35">
        <v>33.1812</v>
      </c>
      <c r="H72" s="35">
        <v>0</v>
      </c>
      <c r="I72" s="35">
        <v>0</v>
      </c>
      <c r="J72" s="83">
        <v>36.2</v>
      </c>
      <c r="K72" s="83"/>
      <c r="L72" s="83"/>
      <c r="M72" s="83"/>
      <c r="N72" s="83" t="s">
        <v>195</v>
      </c>
      <c r="O72" s="83"/>
      <c r="P72" s="83"/>
      <c r="Q72" s="83"/>
    </row>
    <row r="73" spans="1:17" ht="18.75" customHeight="1">
      <c r="A73" s="64"/>
      <c r="B73" s="95"/>
      <c r="C73" s="70"/>
      <c r="D73" s="32">
        <v>2017</v>
      </c>
      <c r="E73" s="52">
        <f t="shared" si="8"/>
        <v>49.4278558</v>
      </c>
      <c r="F73" s="52">
        <f>7.4312+3.7308+0.07-0.0589-0.0011+0.03-0.03+0.0046+0.0189+0.0988+0.01+0.0304558</f>
        <v>11.334755800000002</v>
      </c>
      <c r="G73" s="35">
        <v>38.0931</v>
      </c>
      <c r="H73" s="35">
        <v>0</v>
      </c>
      <c r="I73" s="35">
        <v>0</v>
      </c>
      <c r="J73" s="83">
        <v>36.2</v>
      </c>
      <c r="K73" s="83"/>
      <c r="L73" s="83"/>
      <c r="M73" s="83"/>
      <c r="N73" s="83" t="s">
        <v>195</v>
      </c>
      <c r="O73" s="83"/>
      <c r="P73" s="83"/>
      <c r="Q73" s="83"/>
    </row>
    <row r="74" spans="1:17" ht="18.75" customHeight="1">
      <c r="A74" s="64"/>
      <c r="B74" s="95"/>
      <c r="C74" s="70"/>
      <c r="D74" s="32">
        <v>2018</v>
      </c>
      <c r="E74" s="35">
        <f t="shared" si="8"/>
        <v>58.6888</v>
      </c>
      <c r="F74" s="35">
        <f>2.93313+0.004906+0.005559+0.1215</f>
        <v>3.065095</v>
      </c>
      <c r="G74" s="35">
        <f>55.47031+0.198835-0.04544</f>
        <v>55.623705</v>
      </c>
      <c r="H74" s="35">
        <v>0</v>
      </c>
      <c r="I74" s="35">
        <v>0</v>
      </c>
      <c r="J74" s="83">
        <v>36.2</v>
      </c>
      <c r="K74" s="83"/>
      <c r="L74" s="83"/>
      <c r="M74" s="83"/>
      <c r="N74" s="83" t="s">
        <v>195</v>
      </c>
      <c r="O74" s="83"/>
      <c r="P74" s="83"/>
      <c r="Q74" s="83"/>
    </row>
    <row r="75" spans="1:17" ht="18.75" customHeight="1">
      <c r="A75" s="64"/>
      <c r="B75" s="95"/>
      <c r="C75" s="70"/>
      <c r="D75" s="32">
        <v>2019</v>
      </c>
      <c r="E75" s="35">
        <f t="shared" si="8"/>
        <v>67.88340000000001</v>
      </c>
      <c r="F75" s="35">
        <f>2.95212+0.01+0.3501-0.0503</f>
        <v>3.2619199999999995</v>
      </c>
      <c r="G75" s="35">
        <f>25.68928+35.2992+1.29+2.3946-0.0516</f>
        <v>64.62148</v>
      </c>
      <c r="H75" s="35">
        <v>0</v>
      </c>
      <c r="I75" s="35">
        <v>0</v>
      </c>
      <c r="J75" s="83">
        <v>36.2</v>
      </c>
      <c r="K75" s="83"/>
      <c r="L75" s="83"/>
      <c r="M75" s="83"/>
      <c r="N75" s="83" t="s">
        <v>195</v>
      </c>
      <c r="O75" s="83"/>
      <c r="P75" s="83"/>
      <c r="Q75" s="83"/>
    </row>
    <row r="76" spans="1:17" ht="15">
      <c r="A76" s="64"/>
      <c r="B76" s="95"/>
      <c r="C76" s="70"/>
      <c r="D76" s="32">
        <v>2020</v>
      </c>
      <c r="E76" s="35">
        <f t="shared" si="8"/>
        <v>58.82914</v>
      </c>
      <c r="F76" s="35">
        <f>3.5641+0.01</f>
        <v>3.5740999999999996</v>
      </c>
      <c r="G76" s="35">
        <f>22.152+33.10304</f>
        <v>55.25504</v>
      </c>
      <c r="H76" s="35">
        <v>0</v>
      </c>
      <c r="I76" s="35">
        <v>0</v>
      </c>
      <c r="J76" s="83">
        <v>36.2</v>
      </c>
      <c r="K76" s="83"/>
      <c r="L76" s="83"/>
      <c r="M76" s="83"/>
      <c r="N76" s="83" t="s">
        <v>195</v>
      </c>
      <c r="O76" s="83"/>
      <c r="P76" s="83"/>
      <c r="Q76" s="83"/>
    </row>
    <row r="77" spans="1:17" ht="123" customHeight="1">
      <c r="A77" s="65"/>
      <c r="B77" s="96"/>
      <c r="C77" s="71"/>
      <c r="D77" s="32">
        <v>2021</v>
      </c>
      <c r="E77" s="35">
        <f t="shared" si="8"/>
        <v>58.91414</v>
      </c>
      <c r="F77" s="35">
        <f>3.6491+0.01</f>
        <v>3.6590999999999996</v>
      </c>
      <c r="G77" s="35">
        <f>22.152+33.10304</f>
        <v>55.25504</v>
      </c>
      <c r="H77" s="35">
        <f>H76</f>
        <v>0</v>
      </c>
      <c r="I77" s="35">
        <f>I76</f>
        <v>0</v>
      </c>
      <c r="J77" s="113">
        <f>J76</f>
        <v>36.2</v>
      </c>
      <c r="K77" s="114"/>
      <c r="L77" s="114"/>
      <c r="M77" s="115"/>
      <c r="N77" s="113" t="str">
        <f>N76</f>
        <v>не менее 90</v>
      </c>
      <c r="O77" s="114"/>
      <c r="P77" s="114"/>
      <c r="Q77" s="115"/>
    </row>
    <row r="78" spans="1:17" ht="15" customHeight="1">
      <c r="A78" s="63" t="s">
        <v>167</v>
      </c>
      <c r="B78" s="94" t="s">
        <v>124</v>
      </c>
      <c r="C78" s="69" t="s">
        <v>232</v>
      </c>
      <c r="D78" s="42" t="s">
        <v>19</v>
      </c>
      <c r="E78" s="52">
        <f>E79+E80+E81+E82+E83+E84+E85</f>
        <v>560.95946598</v>
      </c>
      <c r="F78" s="52">
        <f>F79+F80+F81+F82+F83+F84+F85</f>
        <v>560.95946598</v>
      </c>
      <c r="G78" s="35">
        <f>G79+G80+G81+G82+G83+G84+G85</f>
        <v>0</v>
      </c>
      <c r="H78" s="35">
        <f>H79+H80+H81+H82+H83+H84+H85</f>
        <v>0</v>
      </c>
      <c r="I78" s="35">
        <f>I79+I80+I81+I82+I83+I84+I85</f>
        <v>0</v>
      </c>
      <c r="J78" s="116" t="s">
        <v>145</v>
      </c>
      <c r="K78" s="117"/>
      <c r="L78" s="117"/>
      <c r="M78" s="117"/>
      <c r="N78" s="117"/>
      <c r="O78" s="117"/>
      <c r="P78" s="117"/>
      <c r="Q78" s="118"/>
    </row>
    <row r="79" spans="1:17" ht="15">
      <c r="A79" s="64"/>
      <c r="B79" s="95"/>
      <c r="C79" s="70"/>
      <c r="D79" s="32">
        <v>2015</v>
      </c>
      <c r="E79" s="35">
        <f aca="true" t="shared" si="9" ref="E79:E85">F79+G79+H79+I79</f>
        <v>58.3026</v>
      </c>
      <c r="F79" s="35">
        <v>58.3026</v>
      </c>
      <c r="G79" s="35">
        <v>0</v>
      </c>
      <c r="H79" s="35">
        <v>0</v>
      </c>
      <c r="I79" s="35">
        <v>0</v>
      </c>
      <c r="J79" s="119"/>
      <c r="K79" s="120"/>
      <c r="L79" s="120"/>
      <c r="M79" s="120"/>
      <c r="N79" s="120"/>
      <c r="O79" s="120"/>
      <c r="P79" s="120"/>
      <c r="Q79" s="121"/>
    </row>
    <row r="80" spans="1:17" ht="15">
      <c r="A80" s="64"/>
      <c r="B80" s="95"/>
      <c r="C80" s="70"/>
      <c r="D80" s="32">
        <v>2016</v>
      </c>
      <c r="E80" s="35">
        <f t="shared" si="9"/>
        <v>72.2237</v>
      </c>
      <c r="F80" s="35">
        <v>72.2237</v>
      </c>
      <c r="G80" s="35">
        <v>0</v>
      </c>
      <c r="H80" s="35">
        <v>0</v>
      </c>
      <c r="I80" s="35">
        <v>0</v>
      </c>
      <c r="J80" s="119"/>
      <c r="K80" s="120"/>
      <c r="L80" s="120"/>
      <c r="M80" s="120"/>
      <c r="N80" s="120"/>
      <c r="O80" s="120"/>
      <c r="P80" s="120"/>
      <c r="Q80" s="121"/>
    </row>
    <row r="81" spans="1:17" ht="15">
      <c r="A81" s="64"/>
      <c r="B81" s="95"/>
      <c r="C81" s="70"/>
      <c r="D81" s="32">
        <v>2017</v>
      </c>
      <c r="E81" s="35">
        <f t="shared" si="9"/>
        <v>72.2315</v>
      </c>
      <c r="F81" s="35">
        <f>80.2441-0.5822-6.5797-0.8507</f>
        <v>72.2315</v>
      </c>
      <c r="G81" s="35">
        <v>0</v>
      </c>
      <c r="H81" s="35">
        <v>0</v>
      </c>
      <c r="I81" s="35">
        <v>0</v>
      </c>
      <c r="J81" s="119"/>
      <c r="K81" s="120"/>
      <c r="L81" s="120"/>
      <c r="M81" s="120"/>
      <c r="N81" s="120"/>
      <c r="O81" s="120"/>
      <c r="P81" s="120"/>
      <c r="Q81" s="121"/>
    </row>
    <row r="82" spans="1:17" ht="15">
      <c r="A82" s="64"/>
      <c r="B82" s="95"/>
      <c r="C82" s="70"/>
      <c r="D82" s="32">
        <v>2018</v>
      </c>
      <c r="E82" s="52">
        <f t="shared" si="9"/>
        <v>83.78586598000001</v>
      </c>
      <c r="F82" s="52">
        <f>85.9195-1.588-0.11133416-0.43429986</f>
        <v>83.78586598000001</v>
      </c>
      <c r="G82" s="35">
        <v>0</v>
      </c>
      <c r="H82" s="35">
        <v>0</v>
      </c>
      <c r="I82" s="35">
        <v>0</v>
      </c>
      <c r="J82" s="119"/>
      <c r="K82" s="120"/>
      <c r="L82" s="120"/>
      <c r="M82" s="120"/>
      <c r="N82" s="120"/>
      <c r="O82" s="120"/>
      <c r="P82" s="120"/>
      <c r="Q82" s="121"/>
    </row>
    <row r="83" spans="1:17" ht="15">
      <c r="A83" s="64"/>
      <c r="B83" s="95"/>
      <c r="C83" s="70"/>
      <c r="D83" s="32">
        <v>2019</v>
      </c>
      <c r="E83" s="35">
        <f t="shared" si="9"/>
        <v>90.02560000000001</v>
      </c>
      <c r="F83" s="35">
        <f>92.1951-1.0944-0.1843-0.8908</f>
        <v>90.02560000000001</v>
      </c>
      <c r="G83" s="35">
        <v>0</v>
      </c>
      <c r="H83" s="35">
        <v>0</v>
      </c>
      <c r="I83" s="35">
        <v>0</v>
      </c>
      <c r="J83" s="119"/>
      <c r="K83" s="120"/>
      <c r="L83" s="120"/>
      <c r="M83" s="120"/>
      <c r="N83" s="120"/>
      <c r="O83" s="120"/>
      <c r="P83" s="120"/>
      <c r="Q83" s="121"/>
    </row>
    <row r="84" spans="1:17" ht="15">
      <c r="A84" s="64"/>
      <c r="B84" s="95"/>
      <c r="C84" s="70"/>
      <c r="D84" s="32">
        <v>2020</v>
      </c>
      <c r="E84" s="35">
        <f t="shared" si="9"/>
        <v>92.1951</v>
      </c>
      <c r="F84" s="35">
        <v>92.1951</v>
      </c>
      <c r="G84" s="35">
        <v>0</v>
      </c>
      <c r="H84" s="35">
        <v>0</v>
      </c>
      <c r="I84" s="35">
        <v>0</v>
      </c>
      <c r="J84" s="119"/>
      <c r="K84" s="120"/>
      <c r="L84" s="120"/>
      <c r="M84" s="120"/>
      <c r="N84" s="120"/>
      <c r="O84" s="120"/>
      <c r="P84" s="120"/>
      <c r="Q84" s="121"/>
    </row>
    <row r="85" spans="1:17" ht="76.5" customHeight="1">
      <c r="A85" s="65"/>
      <c r="B85" s="96"/>
      <c r="C85" s="71"/>
      <c r="D85" s="32">
        <v>2021</v>
      </c>
      <c r="E85" s="35">
        <f t="shared" si="9"/>
        <v>92.1951</v>
      </c>
      <c r="F85" s="35">
        <v>92.1951</v>
      </c>
      <c r="G85" s="35">
        <f>G84</f>
        <v>0</v>
      </c>
      <c r="H85" s="35">
        <f>H84</f>
        <v>0</v>
      </c>
      <c r="I85" s="35">
        <f>I84</f>
        <v>0</v>
      </c>
      <c r="J85" s="122"/>
      <c r="K85" s="123"/>
      <c r="L85" s="123"/>
      <c r="M85" s="123"/>
      <c r="N85" s="123"/>
      <c r="O85" s="123"/>
      <c r="P85" s="123"/>
      <c r="Q85" s="124"/>
    </row>
    <row r="86" spans="1:17" ht="26.25" customHeight="1">
      <c r="A86" s="63" t="s">
        <v>168</v>
      </c>
      <c r="B86" s="94" t="s">
        <v>180</v>
      </c>
      <c r="C86" s="69" t="s">
        <v>232</v>
      </c>
      <c r="D86" s="42" t="s">
        <v>19</v>
      </c>
      <c r="E86" s="35">
        <f>E87+E88+E89+E90+E91+E92+E93</f>
        <v>397.7381</v>
      </c>
      <c r="F86" s="35">
        <f>F87+F88+F89+F90+F91+F92+F93</f>
        <v>397.7381</v>
      </c>
      <c r="G86" s="35">
        <f>G87+G88+G89+G90+G91+G92+G93</f>
        <v>0</v>
      </c>
      <c r="H86" s="35">
        <f>H87+H88+H89+H90+H91+H92+H93</f>
        <v>0</v>
      </c>
      <c r="I86" s="35">
        <f>I87+I88+I89+I90+I91+I92+I93</f>
        <v>0</v>
      </c>
      <c r="J86" s="84" t="s">
        <v>216</v>
      </c>
      <c r="K86" s="84"/>
      <c r="L86" s="84"/>
      <c r="M86" s="84"/>
      <c r="N86" s="84"/>
      <c r="O86" s="84"/>
      <c r="P86" s="84"/>
      <c r="Q86" s="84"/>
    </row>
    <row r="87" spans="1:17" ht="15">
      <c r="A87" s="64"/>
      <c r="B87" s="95"/>
      <c r="C87" s="70"/>
      <c r="D87" s="32">
        <v>2015</v>
      </c>
      <c r="E87" s="35">
        <f aca="true" t="shared" si="10" ref="E87:E93">F87+G87+H87+I87</f>
        <v>39.3917</v>
      </c>
      <c r="F87" s="35">
        <v>39.3917</v>
      </c>
      <c r="G87" s="35">
        <v>0</v>
      </c>
      <c r="H87" s="35">
        <v>0</v>
      </c>
      <c r="I87" s="35">
        <v>0</v>
      </c>
      <c r="J87" s="83">
        <v>83.5</v>
      </c>
      <c r="K87" s="83"/>
      <c r="L87" s="83"/>
      <c r="M87" s="83"/>
      <c r="N87" s="83"/>
      <c r="O87" s="83"/>
      <c r="P87" s="83"/>
      <c r="Q87" s="83"/>
    </row>
    <row r="88" spans="1:17" ht="15">
      <c r="A88" s="64"/>
      <c r="B88" s="95"/>
      <c r="C88" s="70"/>
      <c r="D88" s="32">
        <v>2016</v>
      </c>
      <c r="E88" s="35">
        <f t="shared" si="10"/>
        <v>50.0223</v>
      </c>
      <c r="F88" s="35">
        <v>50.0223</v>
      </c>
      <c r="G88" s="35">
        <v>0</v>
      </c>
      <c r="H88" s="35">
        <v>0</v>
      </c>
      <c r="I88" s="35">
        <v>0</v>
      </c>
      <c r="J88" s="83">
        <v>83.5</v>
      </c>
      <c r="K88" s="83"/>
      <c r="L88" s="83"/>
      <c r="M88" s="83"/>
      <c r="N88" s="83"/>
      <c r="O88" s="83"/>
      <c r="P88" s="83"/>
      <c r="Q88" s="83"/>
    </row>
    <row r="89" spans="1:17" ht="15">
      <c r="A89" s="64"/>
      <c r="B89" s="95"/>
      <c r="C89" s="70"/>
      <c r="D89" s="32">
        <v>2017</v>
      </c>
      <c r="E89" s="35">
        <f t="shared" si="10"/>
        <v>54.5362</v>
      </c>
      <c r="F89" s="35">
        <f>53.6855+0.8507</f>
        <v>54.5362</v>
      </c>
      <c r="G89" s="35">
        <v>0</v>
      </c>
      <c r="H89" s="35">
        <v>0</v>
      </c>
      <c r="I89" s="35">
        <v>0</v>
      </c>
      <c r="J89" s="83">
        <v>83.6</v>
      </c>
      <c r="K89" s="83"/>
      <c r="L89" s="83"/>
      <c r="M89" s="83"/>
      <c r="N89" s="83"/>
      <c r="O89" s="83"/>
      <c r="P89" s="83"/>
      <c r="Q89" s="83"/>
    </row>
    <row r="90" spans="1:17" ht="15">
      <c r="A90" s="64"/>
      <c r="B90" s="95"/>
      <c r="C90" s="70"/>
      <c r="D90" s="32">
        <v>2018</v>
      </c>
      <c r="E90" s="35">
        <f t="shared" si="10"/>
        <v>56.556200000000004</v>
      </c>
      <c r="F90" s="35">
        <f>60.6187-0.0472-0.4949-1-2.4931-0.0273</f>
        <v>56.556200000000004</v>
      </c>
      <c r="G90" s="35">
        <v>0</v>
      </c>
      <c r="H90" s="35">
        <v>0</v>
      </c>
      <c r="I90" s="35">
        <v>0</v>
      </c>
      <c r="J90" s="83">
        <v>83.7</v>
      </c>
      <c r="K90" s="83"/>
      <c r="L90" s="83"/>
      <c r="M90" s="83"/>
      <c r="N90" s="83"/>
      <c r="O90" s="83"/>
      <c r="P90" s="83"/>
      <c r="Q90" s="83"/>
    </row>
    <row r="91" spans="1:17" ht="15">
      <c r="A91" s="64"/>
      <c r="B91" s="95"/>
      <c r="C91" s="70"/>
      <c r="D91" s="32">
        <v>2019</v>
      </c>
      <c r="E91" s="35">
        <f t="shared" si="10"/>
        <v>65.7439</v>
      </c>
      <c r="F91" s="35">
        <v>65.7439</v>
      </c>
      <c r="G91" s="35">
        <v>0</v>
      </c>
      <c r="H91" s="35">
        <v>0</v>
      </c>
      <c r="I91" s="35">
        <v>0</v>
      </c>
      <c r="J91" s="83">
        <v>83.7</v>
      </c>
      <c r="K91" s="83"/>
      <c r="L91" s="83"/>
      <c r="M91" s="83"/>
      <c r="N91" s="83"/>
      <c r="O91" s="83"/>
      <c r="P91" s="83"/>
      <c r="Q91" s="83"/>
    </row>
    <row r="92" spans="1:17" ht="15">
      <c r="A92" s="64"/>
      <c r="B92" s="95"/>
      <c r="C92" s="70"/>
      <c r="D92" s="32">
        <v>2020</v>
      </c>
      <c r="E92" s="35">
        <f t="shared" si="10"/>
        <v>65.7439</v>
      </c>
      <c r="F92" s="35">
        <v>65.7439</v>
      </c>
      <c r="G92" s="35">
        <v>0</v>
      </c>
      <c r="H92" s="35">
        <v>0</v>
      </c>
      <c r="I92" s="35">
        <v>0</v>
      </c>
      <c r="J92" s="83">
        <v>83.8</v>
      </c>
      <c r="K92" s="83"/>
      <c r="L92" s="83"/>
      <c r="M92" s="83"/>
      <c r="N92" s="83"/>
      <c r="O92" s="83"/>
      <c r="P92" s="83"/>
      <c r="Q92" s="83"/>
    </row>
    <row r="93" spans="1:17" ht="65.25" customHeight="1">
      <c r="A93" s="65"/>
      <c r="B93" s="96"/>
      <c r="C93" s="71"/>
      <c r="D93" s="32">
        <v>2021</v>
      </c>
      <c r="E93" s="35">
        <f t="shared" si="10"/>
        <v>65.7439</v>
      </c>
      <c r="F93" s="35">
        <v>65.7439</v>
      </c>
      <c r="G93" s="35">
        <f>G92</f>
        <v>0</v>
      </c>
      <c r="H93" s="35">
        <f>H92</f>
        <v>0</v>
      </c>
      <c r="I93" s="35">
        <f>I92</f>
        <v>0</v>
      </c>
      <c r="J93" s="113">
        <f>J92</f>
        <v>83.8</v>
      </c>
      <c r="K93" s="114"/>
      <c r="L93" s="114"/>
      <c r="M93" s="114"/>
      <c r="N93" s="114"/>
      <c r="O93" s="114"/>
      <c r="P93" s="114"/>
      <c r="Q93" s="115"/>
    </row>
    <row r="94" spans="1:17" ht="38.25" customHeight="1">
      <c r="A94" s="63" t="s">
        <v>169</v>
      </c>
      <c r="B94" s="94" t="s">
        <v>134</v>
      </c>
      <c r="C94" s="69" t="s">
        <v>232</v>
      </c>
      <c r="D94" s="42" t="s">
        <v>19</v>
      </c>
      <c r="E94" s="52">
        <f>E95+E96+E97+E98+E99+E100+E101</f>
        <v>149.68975027</v>
      </c>
      <c r="F94" s="35">
        <f>F95+F96+F97+F98+F99+F100+F101</f>
        <v>20.5313</v>
      </c>
      <c r="G94" s="52">
        <f>G95+G96+G97+G98+G99+G100+G101</f>
        <v>129.15845027</v>
      </c>
      <c r="H94" s="35">
        <f>H95+H96+H97+H98+H99+H100+H101</f>
        <v>0</v>
      </c>
      <c r="I94" s="35">
        <f>I95+I96+I97+I98+I99+I100+I101</f>
        <v>0</v>
      </c>
      <c r="J94" s="84" t="s">
        <v>238</v>
      </c>
      <c r="K94" s="84"/>
      <c r="L94" s="84"/>
      <c r="M94" s="84"/>
      <c r="N94" s="84" t="s">
        <v>239</v>
      </c>
      <c r="O94" s="84"/>
      <c r="P94" s="84"/>
      <c r="Q94" s="84"/>
    </row>
    <row r="95" spans="1:17" ht="15">
      <c r="A95" s="64"/>
      <c r="B95" s="95"/>
      <c r="C95" s="70"/>
      <c r="D95" s="32">
        <v>2015</v>
      </c>
      <c r="E95" s="35">
        <f aca="true" t="shared" si="11" ref="E95:E101">F95+G95+H95+I95</f>
        <v>17.2251</v>
      </c>
      <c r="F95" s="35">
        <v>6.9829</v>
      </c>
      <c r="G95" s="52">
        <v>10.2422</v>
      </c>
      <c r="H95" s="35">
        <v>0</v>
      </c>
      <c r="I95" s="35">
        <v>0</v>
      </c>
      <c r="J95" s="83">
        <v>36.2</v>
      </c>
      <c r="K95" s="83"/>
      <c r="L95" s="83"/>
      <c r="M95" s="83"/>
      <c r="N95" s="83" t="s">
        <v>195</v>
      </c>
      <c r="O95" s="83"/>
      <c r="P95" s="83"/>
      <c r="Q95" s="83"/>
    </row>
    <row r="96" spans="1:17" ht="15" customHeight="1">
      <c r="A96" s="64"/>
      <c r="B96" s="95"/>
      <c r="C96" s="70"/>
      <c r="D96" s="32">
        <v>2016</v>
      </c>
      <c r="E96" s="35">
        <f t="shared" si="11"/>
        <v>17.6037</v>
      </c>
      <c r="F96" s="35">
        <v>7.0744</v>
      </c>
      <c r="G96" s="52">
        <v>10.5293</v>
      </c>
      <c r="H96" s="35">
        <v>0</v>
      </c>
      <c r="I96" s="35">
        <v>0</v>
      </c>
      <c r="J96" s="83">
        <v>36.2</v>
      </c>
      <c r="K96" s="83"/>
      <c r="L96" s="83"/>
      <c r="M96" s="83"/>
      <c r="N96" s="83" t="s">
        <v>195</v>
      </c>
      <c r="O96" s="83"/>
      <c r="P96" s="83"/>
      <c r="Q96" s="83"/>
    </row>
    <row r="97" spans="1:17" ht="15">
      <c r="A97" s="64"/>
      <c r="B97" s="95"/>
      <c r="C97" s="70"/>
      <c r="D97" s="32">
        <v>2017</v>
      </c>
      <c r="E97" s="35">
        <f t="shared" si="11"/>
        <v>16.248800000000003</v>
      </c>
      <c r="F97" s="35">
        <f>6.657-0.183</f>
        <v>6.474</v>
      </c>
      <c r="G97" s="52">
        <v>9.7748</v>
      </c>
      <c r="H97" s="35">
        <v>0</v>
      </c>
      <c r="I97" s="35">
        <v>0</v>
      </c>
      <c r="J97" s="83">
        <v>36.2</v>
      </c>
      <c r="K97" s="83"/>
      <c r="L97" s="83"/>
      <c r="M97" s="83"/>
      <c r="N97" s="83" t="s">
        <v>195</v>
      </c>
      <c r="O97" s="83"/>
      <c r="P97" s="83"/>
      <c r="Q97" s="83"/>
    </row>
    <row r="98" spans="1:17" ht="15">
      <c r="A98" s="64"/>
      <c r="B98" s="95"/>
      <c r="C98" s="70"/>
      <c r="D98" s="32">
        <v>2018</v>
      </c>
      <c r="E98" s="52">
        <f t="shared" si="11"/>
        <v>24.476130270000002</v>
      </c>
      <c r="F98" s="35">
        <f>6.4534-6.4534</f>
        <v>0</v>
      </c>
      <c r="G98" s="52">
        <f>24.18926+0.2419+0.04544-0.00046973</f>
        <v>24.476130270000002</v>
      </c>
      <c r="H98" s="35">
        <v>0</v>
      </c>
      <c r="I98" s="35">
        <v>0</v>
      </c>
      <c r="J98" s="83">
        <v>36.2</v>
      </c>
      <c r="K98" s="83"/>
      <c r="L98" s="83"/>
      <c r="M98" s="83"/>
      <c r="N98" s="83" t="s">
        <v>195</v>
      </c>
      <c r="O98" s="83"/>
      <c r="P98" s="83"/>
      <c r="Q98" s="83"/>
    </row>
    <row r="99" spans="1:17" ht="15">
      <c r="A99" s="64"/>
      <c r="B99" s="95"/>
      <c r="C99" s="70"/>
      <c r="D99" s="32">
        <v>2019</v>
      </c>
      <c r="E99" s="35">
        <f t="shared" si="11"/>
        <v>25.2747</v>
      </c>
      <c r="F99" s="35">
        <f>6.4534-6.4534</f>
        <v>0</v>
      </c>
      <c r="G99" s="52">
        <f>25.2198+0.0033+0.0516</f>
        <v>25.2747</v>
      </c>
      <c r="H99" s="35">
        <v>0</v>
      </c>
      <c r="I99" s="35">
        <v>0</v>
      </c>
      <c r="J99" s="83">
        <v>36.2</v>
      </c>
      <c r="K99" s="83"/>
      <c r="L99" s="83"/>
      <c r="M99" s="83"/>
      <c r="N99" s="83" t="s">
        <v>195</v>
      </c>
      <c r="O99" s="83"/>
      <c r="P99" s="83"/>
      <c r="Q99" s="83"/>
    </row>
    <row r="100" spans="1:17" ht="15">
      <c r="A100" s="64"/>
      <c r="B100" s="95"/>
      <c r="C100" s="70"/>
      <c r="D100" s="32">
        <v>2020</v>
      </c>
      <c r="E100" s="35">
        <f t="shared" si="11"/>
        <v>24.43066</v>
      </c>
      <c r="F100" s="35">
        <f>6.4534-6.4534</f>
        <v>0</v>
      </c>
      <c r="G100" s="52">
        <v>24.43066</v>
      </c>
      <c r="H100" s="35">
        <v>0</v>
      </c>
      <c r="I100" s="35">
        <v>0</v>
      </c>
      <c r="J100" s="83">
        <v>36.2</v>
      </c>
      <c r="K100" s="83"/>
      <c r="L100" s="83"/>
      <c r="M100" s="83"/>
      <c r="N100" s="83" t="s">
        <v>195</v>
      </c>
      <c r="O100" s="83"/>
      <c r="P100" s="83"/>
      <c r="Q100" s="83"/>
    </row>
    <row r="101" spans="1:17" ht="55.5" customHeight="1">
      <c r="A101" s="65"/>
      <c r="B101" s="96"/>
      <c r="C101" s="71"/>
      <c r="D101" s="32">
        <v>2021</v>
      </c>
      <c r="E101" s="35">
        <f t="shared" si="11"/>
        <v>24.43066</v>
      </c>
      <c r="F101" s="35">
        <f>F100</f>
        <v>0</v>
      </c>
      <c r="G101" s="52">
        <v>24.43066</v>
      </c>
      <c r="H101" s="35">
        <f>H100</f>
        <v>0</v>
      </c>
      <c r="I101" s="35">
        <f>I100</f>
        <v>0</v>
      </c>
      <c r="J101" s="113">
        <f>J100</f>
        <v>36.2</v>
      </c>
      <c r="K101" s="114"/>
      <c r="L101" s="114"/>
      <c r="M101" s="115"/>
      <c r="N101" s="113" t="str">
        <f>N100</f>
        <v>не менее 90</v>
      </c>
      <c r="O101" s="114"/>
      <c r="P101" s="114"/>
      <c r="Q101" s="115"/>
    </row>
    <row r="102" spans="1:17" ht="25.5" customHeight="1">
      <c r="A102" s="63" t="s">
        <v>170</v>
      </c>
      <c r="B102" s="94" t="s">
        <v>136</v>
      </c>
      <c r="C102" s="69" t="s">
        <v>232</v>
      </c>
      <c r="D102" s="42" t="s">
        <v>19</v>
      </c>
      <c r="E102" s="50">
        <f>E103+E104+E105+E106+E107+E108+E109</f>
        <v>217.21298503</v>
      </c>
      <c r="F102" s="50">
        <f>F103+F104+F105+F106+F107+F108+F109</f>
        <v>181.10469718</v>
      </c>
      <c r="G102" s="50">
        <f>G103+G104+G105+G106+G107+G108+G109</f>
        <v>36.108287849999996</v>
      </c>
      <c r="H102" s="56">
        <f>H103+H104+H105+H106+H107+H108+H109</f>
        <v>0</v>
      </c>
      <c r="I102" s="56">
        <f>I103+I104+I105+I106+I107+I108+I109</f>
        <v>0</v>
      </c>
      <c r="J102" s="107" t="s">
        <v>217</v>
      </c>
      <c r="K102" s="107"/>
      <c r="L102" s="107"/>
      <c r="M102" s="107"/>
      <c r="N102" s="107"/>
      <c r="O102" s="107"/>
      <c r="P102" s="107"/>
      <c r="Q102" s="107"/>
    </row>
    <row r="103" spans="1:17" ht="15.75" customHeight="1">
      <c r="A103" s="64"/>
      <c r="B103" s="95"/>
      <c r="C103" s="70"/>
      <c r="D103" s="32">
        <v>2015</v>
      </c>
      <c r="E103" s="50">
        <f aca="true" t="shared" si="12" ref="E103:E109">F103+G103+H103+I103</f>
        <v>32.3407</v>
      </c>
      <c r="F103" s="50">
        <v>32.3407</v>
      </c>
      <c r="G103" s="50">
        <v>0</v>
      </c>
      <c r="H103" s="51">
        <v>0</v>
      </c>
      <c r="I103" s="51">
        <v>0</v>
      </c>
      <c r="J103" s="83">
        <v>16</v>
      </c>
      <c r="K103" s="83"/>
      <c r="L103" s="83"/>
      <c r="M103" s="83"/>
      <c r="N103" s="83"/>
      <c r="O103" s="83"/>
      <c r="P103" s="83"/>
      <c r="Q103" s="83"/>
    </row>
    <row r="104" spans="1:17" ht="15.75" customHeight="1">
      <c r="A104" s="64"/>
      <c r="B104" s="95"/>
      <c r="C104" s="70"/>
      <c r="D104" s="32">
        <v>2016</v>
      </c>
      <c r="E104" s="50">
        <f t="shared" si="12"/>
        <v>18.8992</v>
      </c>
      <c r="F104" s="50">
        <v>18.8992</v>
      </c>
      <c r="G104" s="50">
        <v>0</v>
      </c>
      <c r="H104" s="51">
        <v>0</v>
      </c>
      <c r="I104" s="51">
        <v>0</v>
      </c>
      <c r="J104" s="83">
        <v>15.2</v>
      </c>
      <c r="K104" s="83"/>
      <c r="L104" s="83"/>
      <c r="M104" s="83"/>
      <c r="N104" s="83"/>
      <c r="O104" s="83"/>
      <c r="P104" s="83"/>
      <c r="Q104" s="83"/>
    </row>
    <row r="105" spans="1:17" ht="15.75" customHeight="1">
      <c r="A105" s="64"/>
      <c r="B105" s="95"/>
      <c r="C105" s="70"/>
      <c r="D105" s="32">
        <v>2017</v>
      </c>
      <c r="E105" s="50">
        <f t="shared" si="12"/>
        <v>24.103603619999998</v>
      </c>
      <c r="F105" s="50">
        <f>20.1129+8.3344+0.033-1.4065+0.06455614+0.736-1.3697-1.0151-0.52301552-0.6292-0.233737</f>
        <v>24.103603619999998</v>
      </c>
      <c r="G105" s="50">
        <v>0</v>
      </c>
      <c r="H105" s="51">
        <v>0</v>
      </c>
      <c r="I105" s="51">
        <v>0</v>
      </c>
      <c r="J105" s="83">
        <v>15.2</v>
      </c>
      <c r="K105" s="83"/>
      <c r="L105" s="83"/>
      <c r="M105" s="83"/>
      <c r="N105" s="83"/>
      <c r="O105" s="83"/>
      <c r="P105" s="83"/>
      <c r="Q105" s="83"/>
    </row>
    <row r="106" spans="1:17" ht="15.75" customHeight="1">
      <c r="A106" s="64"/>
      <c r="B106" s="95"/>
      <c r="C106" s="70"/>
      <c r="D106" s="32">
        <v>2018</v>
      </c>
      <c r="E106" s="50">
        <f t="shared" si="12"/>
        <v>64.00755981</v>
      </c>
      <c r="F106" s="50">
        <f>24.592+0.435-3.6548+2+4.68-0.15292804</f>
        <v>27.89927196</v>
      </c>
      <c r="G106" s="50">
        <f>36.72-0.61171215</f>
        <v>36.108287849999996</v>
      </c>
      <c r="H106" s="51">
        <v>0</v>
      </c>
      <c r="I106" s="51">
        <v>0</v>
      </c>
      <c r="J106" s="83">
        <v>15.2</v>
      </c>
      <c r="K106" s="83"/>
      <c r="L106" s="83"/>
      <c r="M106" s="83"/>
      <c r="N106" s="83"/>
      <c r="O106" s="83"/>
      <c r="P106" s="83"/>
      <c r="Q106" s="83"/>
    </row>
    <row r="107" spans="1:17" ht="15.75" customHeight="1">
      <c r="A107" s="64"/>
      <c r="B107" s="95"/>
      <c r="C107" s="70"/>
      <c r="D107" s="32">
        <v>2019</v>
      </c>
      <c r="E107" s="50">
        <f t="shared" si="12"/>
        <v>31.11752160000001</v>
      </c>
      <c r="F107" s="50">
        <f>28.48542+0.48+0.0559+19.9166689+3.8821-5.11322+0.1025-20.04077+0.694+2.23223945+0.83068325-0.408</f>
        <v>31.11752160000001</v>
      </c>
      <c r="G107" s="50">
        <v>0</v>
      </c>
      <c r="H107" s="51">
        <v>0</v>
      </c>
      <c r="I107" s="51">
        <v>0</v>
      </c>
      <c r="J107" s="83">
        <v>15.2</v>
      </c>
      <c r="K107" s="83"/>
      <c r="L107" s="83"/>
      <c r="M107" s="83"/>
      <c r="N107" s="83"/>
      <c r="O107" s="83"/>
      <c r="P107" s="83"/>
      <c r="Q107" s="83"/>
    </row>
    <row r="108" spans="1:17" ht="15">
      <c r="A108" s="64"/>
      <c r="B108" s="95"/>
      <c r="C108" s="70"/>
      <c r="D108" s="32">
        <v>2020</v>
      </c>
      <c r="E108" s="50">
        <f t="shared" si="12"/>
        <v>23.3722</v>
      </c>
      <c r="F108" s="50">
        <v>23.3722</v>
      </c>
      <c r="G108" s="50">
        <v>0</v>
      </c>
      <c r="H108" s="51">
        <v>0</v>
      </c>
      <c r="I108" s="51">
        <v>0</v>
      </c>
      <c r="J108" s="83">
        <v>15.2</v>
      </c>
      <c r="K108" s="83"/>
      <c r="L108" s="83"/>
      <c r="M108" s="83"/>
      <c r="N108" s="83"/>
      <c r="O108" s="83"/>
      <c r="P108" s="83"/>
      <c r="Q108" s="83"/>
    </row>
    <row r="109" spans="1:17" ht="65.25" customHeight="1">
      <c r="A109" s="65"/>
      <c r="B109" s="96"/>
      <c r="C109" s="71"/>
      <c r="D109" s="32">
        <v>2021</v>
      </c>
      <c r="E109" s="50">
        <f t="shared" si="12"/>
        <v>23.3722</v>
      </c>
      <c r="F109" s="50">
        <v>23.3722</v>
      </c>
      <c r="G109" s="50">
        <f>G108</f>
        <v>0</v>
      </c>
      <c r="H109" s="56">
        <f>H108</f>
        <v>0</v>
      </c>
      <c r="I109" s="56">
        <f>I108</f>
        <v>0</v>
      </c>
      <c r="J109" s="113">
        <f>J108</f>
        <v>15.2</v>
      </c>
      <c r="K109" s="114"/>
      <c r="L109" s="114"/>
      <c r="M109" s="114"/>
      <c r="N109" s="114"/>
      <c r="O109" s="114"/>
      <c r="P109" s="114"/>
      <c r="Q109" s="115"/>
    </row>
    <row r="110" spans="1:17" ht="86.25" customHeight="1">
      <c r="A110" s="63" t="s">
        <v>171</v>
      </c>
      <c r="B110" s="94" t="s">
        <v>137</v>
      </c>
      <c r="C110" s="69" t="s">
        <v>232</v>
      </c>
      <c r="D110" s="42" t="s">
        <v>19</v>
      </c>
      <c r="E110" s="50">
        <f>E111+E112+E113+E114+E115+E116+E117</f>
        <v>527.944731</v>
      </c>
      <c r="F110" s="50">
        <f>F111+F112+F113+F114+F115+F116+F117</f>
        <v>497.6935015600001</v>
      </c>
      <c r="G110" s="50">
        <f>G111+G112+G113+G114+G115+G116+G117</f>
        <v>30.251229439999996</v>
      </c>
      <c r="H110" s="51">
        <f>H111+H112+H113+H114+H115+H116+H117</f>
        <v>0</v>
      </c>
      <c r="I110" s="51">
        <f>I111+I112+I113+I114+I115+I116+I117</f>
        <v>0</v>
      </c>
      <c r="J110" s="86" t="s">
        <v>212</v>
      </c>
      <c r="K110" s="86"/>
      <c r="L110" s="87" t="s">
        <v>218</v>
      </c>
      <c r="M110" s="87"/>
      <c r="N110" s="87"/>
      <c r="O110" s="87" t="s">
        <v>219</v>
      </c>
      <c r="P110" s="87"/>
      <c r="Q110" s="87"/>
    </row>
    <row r="111" spans="1:17" ht="15">
      <c r="A111" s="64"/>
      <c r="B111" s="95"/>
      <c r="C111" s="70"/>
      <c r="D111" s="32">
        <v>2015</v>
      </c>
      <c r="E111" s="50">
        <f aca="true" t="shared" si="13" ref="E111:E117">F111+G111+H111+I111</f>
        <v>56.1733</v>
      </c>
      <c r="F111" s="50">
        <v>56.1733</v>
      </c>
      <c r="G111" s="50">
        <v>0</v>
      </c>
      <c r="H111" s="51">
        <v>0</v>
      </c>
      <c r="I111" s="51">
        <v>0</v>
      </c>
      <c r="J111" s="112" t="s">
        <v>213</v>
      </c>
      <c r="K111" s="112"/>
      <c r="L111" s="92">
        <v>59</v>
      </c>
      <c r="M111" s="92"/>
      <c r="N111" s="92"/>
      <c r="O111" s="92">
        <v>41</v>
      </c>
      <c r="P111" s="92"/>
      <c r="Q111" s="92"/>
    </row>
    <row r="112" spans="1:17" ht="15">
      <c r="A112" s="64"/>
      <c r="B112" s="95"/>
      <c r="C112" s="70"/>
      <c r="D112" s="32">
        <v>2016</v>
      </c>
      <c r="E112" s="50">
        <f t="shared" si="13"/>
        <v>44.93598</v>
      </c>
      <c r="F112" s="50">
        <v>44.93598</v>
      </c>
      <c r="G112" s="50">
        <v>0</v>
      </c>
      <c r="H112" s="51">
        <v>0</v>
      </c>
      <c r="I112" s="51">
        <v>0</v>
      </c>
      <c r="J112" s="112" t="s">
        <v>214</v>
      </c>
      <c r="K112" s="112"/>
      <c r="L112" s="92">
        <v>65.8</v>
      </c>
      <c r="M112" s="92"/>
      <c r="N112" s="92"/>
      <c r="O112" s="92">
        <v>34.2</v>
      </c>
      <c r="P112" s="92"/>
      <c r="Q112" s="92"/>
    </row>
    <row r="113" spans="1:17" ht="15">
      <c r="A113" s="64"/>
      <c r="B113" s="95"/>
      <c r="C113" s="70"/>
      <c r="D113" s="32">
        <v>2017</v>
      </c>
      <c r="E113" s="50">
        <f t="shared" si="13"/>
        <v>107.96035578000001</v>
      </c>
      <c r="F113" s="50">
        <f>73.3047+13.8454+0.0264+1.0695-1.4979-0.06455614-0.4156+1.0403+0.03+0.5052-0.731705-0.24696922-0.00001526-0.5-0.1361-0.0179-0.043363-0.03</f>
        <v>86.13739138000001</v>
      </c>
      <c r="G113" s="50">
        <f>3.831331+18.1423-0.150631-0.0000356</f>
        <v>21.822964399999996</v>
      </c>
      <c r="H113" s="51">
        <v>0</v>
      </c>
      <c r="I113" s="51">
        <v>0</v>
      </c>
      <c r="J113" s="112" t="s">
        <v>230</v>
      </c>
      <c r="K113" s="112"/>
      <c r="L113" s="92">
        <v>67.2</v>
      </c>
      <c r="M113" s="92"/>
      <c r="N113" s="92"/>
      <c r="O113" s="92">
        <v>32.8</v>
      </c>
      <c r="P113" s="92"/>
      <c r="Q113" s="92"/>
    </row>
    <row r="114" spans="1:17" ht="15">
      <c r="A114" s="64"/>
      <c r="B114" s="95"/>
      <c r="C114" s="70"/>
      <c r="D114" s="32">
        <v>2018</v>
      </c>
      <c r="E114" s="50">
        <f t="shared" si="13"/>
        <v>83.95076747</v>
      </c>
      <c r="F114" s="50">
        <f>83.2121+0.66-2+0.51024347-4.096</f>
        <v>78.28634347</v>
      </c>
      <c r="G114" s="50">
        <v>5.664424</v>
      </c>
      <c r="H114" s="51">
        <v>0</v>
      </c>
      <c r="I114" s="51">
        <v>0</v>
      </c>
      <c r="J114" s="112" t="s">
        <v>230</v>
      </c>
      <c r="K114" s="112"/>
      <c r="L114" s="92">
        <v>67.2</v>
      </c>
      <c r="M114" s="92"/>
      <c r="N114" s="92"/>
      <c r="O114" s="92">
        <v>32.8</v>
      </c>
      <c r="P114" s="92"/>
      <c r="Q114" s="92"/>
    </row>
    <row r="115" spans="1:17" ht="15">
      <c r="A115" s="64"/>
      <c r="B115" s="95"/>
      <c r="C115" s="70"/>
      <c r="D115" s="32">
        <v>2019</v>
      </c>
      <c r="E115" s="50">
        <f t="shared" si="13"/>
        <v>83.63252775000001</v>
      </c>
      <c r="F115" s="50">
        <f>66.86408+0.587+22.50693949+0.2+4.55+2-15.46259-0.16019-0.264+4.16276055+0.512+1-0.99167733-4.1052+0.0854-0.0068-0.4959-0.113136</f>
        <v>80.86868671</v>
      </c>
      <c r="G115" s="50">
        <f>3.44-0.22361496-0.452544</f>
        <v>2.76384104</v>
      </c>
      <c r="H115" s="51">
        <v>0</v>
      </c>
      <c r="I115" s="51">
        <v>0</v>
      </c>
      <c r="J115" s="112" t="s">
        <v>230</v>
      </c>
      <c r="K115" s="112"/>
      <c r="L115" s="92">
        <v>67.2</v>
      </c>
      <c r="M115" s="92"/>
      <c r="N115" s="92"/>
      <c r="O115" s="92">
        <v>32.8</v>
      </c>
      <c r="P115" s="92"/>
      <c r="Q115" s="92"/>
    </row>
    <row r="116" spans="1:17" ht="15">
      <c r="A116" s="64"/>
      <c r="B116" s="95"/>
      <c r="C116" s="70"/>
      <c r="D116" s="32">
        <v>2020</v>
      </c>
      <c r="E116" s="50">
        <f t="shared" si="13"/>
        <v>81.8721</v>
      </c>
      <c r="F116" s="50">
        <v>81.8721</v>
      </c>
      <c r="G116" s="50">
        <v>0</v>
      </c>
      <c r="H116" s="51">
        <v>0</v>
      </c>
      <c r="I116" s="51">
        <v>0</v>
      </c>
      <c r="J116" s="112" t="s">
        <v>230</v>
      </c>
      <c r="K116" s="112"/>
      <c r="L116" s="92">
        <v>67.2</v>
      </c>
      <c r="M116" s="92"/>
      <c r="N116" s="92"/>
      <c r="O116" s="92">
        <v>32.8</v>
      </c>
      <c r="P116" s="92"/>
      <c r="Q116" s="92"/>
    </row>
    <row r="117" spans="1:17" ht="15">
      <c r="A117" s="65"/>
      <c r="B117" s="96"/>
      <c r="C117" s="71"/>
      <c r="D117" s="32">
        <v>2021</v>
      </c>
      <c r="E117" s="50">
        <f t="shared" si="13"/>
        <v>69.4197</v>
      </c>
      <c r="F117" s="50">
        <v>69.4197</v>
      </c>
      <c r="G117" s="50">
        <f>G116</f>
        <v>0</v>
      </c>
      <c r="H117" s="56">
        <f>H116</f>
        <v>0</v>
      </c>
      <c r="I117" s="56">
        <f>I116</f>
        <v>0</v>
      </c>
      <c r="J117" s="113" t="str">
        <f>J116</f>
        <v>не более 6,4</v>
      </c>
      <c r="K117" s="115"/>
      <c r="L117" s="108">
        <f>L116</f>
        <v>67.2</v>
      </c>
      <c r="M117" s="109"/>
      <c r="N117" s="110"/>
      <c r="O117" s="108">
        <f>O116</f>
        <v>32.8</v>
      </c>
      <c r="P117" s="109"/>
      <c r="Q117" s="110"/>
    </row>
    <row r="118" spans="1:17" ht="86.25" customHeight="1">
      <c r="A118" s="63" t="s">
        <v>172</v>
      </c>
      <c r="B118" s="94" t="s">
        <v>129</v>
      </c>
      <c r="C118" s="132" t="s">
        <v>236</v>
      </c>
      <c r="D118" s="42" t="s">
        <v>19</v>
      </c>
      <c r="E118" s="35">
        <f>E119+E120+E121+E122+E123+E124+E125</f>
        <v>120.249</v>
      </c>
      <c r="F118" s="35">
        <f>F119+F120+F121+F122+F123+F124+F125</f>
        <v>120.249</v>
      </c>
      <c r="G118" s="35">
        <f>G119+G120+G121+G122+G123+G124+G125</f>
        <v>0</v>
      </c>
      <c r="H118" s="35">
        <f>H119+H120+H121+H122+H123+H124+H125</f>
        <v>0</v>
      </c>
      <c r="I118" s="35">
        <f>I119+I120+I121+I122+I123+I124+I125</f>
        <v>0</v>
      </c>
      <c r="J118" s="86" t="s">
        <v>217</v>
      </c>
      <c r="K118" s="86"/>
      <c r="L118" s="87" t="s">
        <v>218</v>
      </c>
      <c r="M118" s="87"/>
      <c r="N118" s="87"/>
      <c r="O118" s="87" t="s">
        <v>219</v>
      </c>
      <c r="P118" s="87"/>
      <c r="Q118" s="87"/>
    </row>
    <row r="119" spans="1:17" ht="15">
      <c r="A119" s="64"/>
      <c r="B119" s="95"/>
      <c r="C119" s="133"/>
      <c r="D119" s="32">
        <v>2015</v>
      </c>
      <c r="E119" s="35">
        <f aca="true" t="shared" si="14" ref="E119:E125">F119+G119+H119+I119</f>
        <v>120.249</v>
      </c>
      <c r="F119" s="35">
        <v>120.249</v>
      </c>
      <c r="G119" s="35">
        <v>0</v>
      </c>
      <c r="H119" s="35">
        <v>0</v>
      </c>
      <c r="I119" s="35">
        <v>0</v>
      </c>
      <c r="J119" s="83">
        <v>16</v>
      </c>
      <c r="K119" s="83"/>
      <c r="L119" s="92">
        <v>59</v>
      </c>
      <c r="M119" s="92"/>
      <c r="N119" s="92"/>
      <c r="O119" s="92">
        <v>41</v>
      </c>
      <c r="P119" s="92"/>
      <c r="Q119" s="92"/>
    </row>
    <row r="120" spans="1:17" ht="15">
      <c r="A120" s="64"/>
      <c r="B120" s="95"/>
      <c r="C120" s="133"/>
      <c r="D120" s="32">
        <v>2016</v>
      </c>
      <c r="E120" s="35">
        <f t="shared" si="14"/>
        <v>0</v>
      </c>
      <c r="F120" s="35">
        <v>0</v>
      </c>
      <c r="G120" s="35">
        <v>0</v>
      </c>
      <c r="H120" s="35">
        <v>0</v>
      </c>
      <c r="I120" s="35">
        <v>0</v>
      </c>
      <c r="J120" s="112" t="s">
        <v>145</v>
      </c>
      <c r="K120" s="112"/>
      <c r="L120" s="83" t="s">
        <v>145</v>
      </c>
      <c r="M120" s="83"/>
      <c r="N120" s="83"/>
      <c r="O120" s="92" t="s">
        <v>145</v>
      </c>
      <c r="P120" s="92"/>
      <c r="Q120" s="92"/>
    </row>
    <row r="121" spans="1:17" ht="15">
      <c r="A121" s="64"/>
      <c r="B121" s="95"/>
      <c r="C121" s="133"/>
      <c r="D121" s="32">
        <v>2017</v>
      </c>
      <c r="E121" s="35">
        <f t="shared" si="14"/>
        <v>0</v>
      </c>
      <c r="F121" s="35">
        <v>0</v>
      </c>
      <c r="G121" s="35">
        <v>0</v>
      </c>
      <c r="H121" s="35">
        <v>0</v>
      </c>
      <c r="I121" s="35">
        <v>0</v>
      </c>
      <c r="J121" s="112" t="s">
        <v>145</v>
      </c>
      <c r="K121" s="112"/>
      <c r="L121" s="83" t="s">
        <v>145</v>
      </c>
      <c r="M121" s="83"/>
      <c r="N121" s="83"/>
      <c r="O121" s="92" t="s">
        <v>145</v>
      </c>
      <c r="P121" s="92"/>
      <c r="Q121" s="92"/>
    </row>
    <row r="122" spans="1:17" ht="15">
      <c r="A122" s="64"/>
      <c r="B122" s="95"/>
      <c r="C122" s="133"/>
      <c r="D122" s="32">
        <v>2018</v>
      </c>
      <c r="E122" s="35">
        <f t="shared" si="14"/>
        <v>0</v>
      </c>
      <c r="F122" s="35">
        <v>0</v>
      </c>
      <c r="G122" s="35">
        <v>0</v>
      </c>
      <c r="H122" s="35">
        <v>0</v>
      </c>
      <c r="I122" s="35">
        <v>0</v>
      </c>
      <c r="J122" s="112" t="s">
        <v>145</v>
      </c>
      <c r="K122" s="112"/>
      <c r="L122" s="83" t="s">
        <v>145</v>
      </c>
      <c r="M122" s="83"/>
      <c r="N122" s="83"/>
      <c r="O122" s="92" t="s">
        <v>145</v>
      </c>
      <c r="P122" s="92"/>
      <c r="Q122" s="92"/>
    </row>
    <row r="123" spans="1:17" ht="15">
      <c r="A123" s="64"/>
      <c r="B123" s="95"/>
      <c r="C123" s="133"/>
      <c r="D123" s="32">
        <v>2019</v>
      </c>
      <c r="E123" s="35">
        <f t="shared" si="14"/>
        <v>0</v>
      </c>
      <c r="F123" s="35">
        <v>0</v>
      </c>
      <c r="G123" s="35">
        <v>0</v>
      </c>
      <c r="H123" s="35">
        <v>0</v>
      </c>
      <c r="I123" s="35">
        <v>0</v>
      </c>
      <c r="J123" s="112" t="s">
        <v>145</v>
      </c>
      <c r="K123" s="112"/>
      <c r="L123" s="83" t="s">
        <v>145</v>
      </c>
      <c r="M123" s="83"/>
      <c r="N123" s="83"/>
      <c r="O123" s="92" t="s">
        <v>145</v>
      </c>
      <c r="P123" s="92"/>
      <c r="Q123" s="92"/>
    </row>
    <row r="124" spans="1:17" ht="15">
      <c r="A124" s="64"/>
      <c r="B124" s="95"/>
      <c r="C124" s="133"/>
      <c r="D124" s="32">
        <v>2020</v>
      </c>
      <c r="E124" s="35">
        <f t="shared" si="14"/>
        <v>0</v>
      </c>
      <c r="F124" s="35">
        <v>0</v>
      </c>
      <c r="G124" s="35">
        <v>0</v>
      </c>
      <c r="H124" s="35">
        <v>0</v>
      </c>
      <c r="I124" s="35">
        <v>0</v>
      </c>
      <c r="J124" s="112" t="s">
        <v>145</v>
      </c>
      <c r="K124" s="112"/>
      <c r="L124" s="83" t="s">
        <v>145</v>
      </c>
      <c r="M124" s="83"/>
      <c r="N124" s="83"/>
      <c r="O124" s="92" t="s">
        <v>145</v>
      </c>
      <c r="P124" s="92"/>
      <c r="Q124" s="92"/>
    </row>
    <row r="125" spans="1:17" ht="15">
      <c r="A125" s="65"/>
      <c r="B125" s="96"/>
      <c r="C125" s="134"/>
      <c r="D125" s="32">
        <v>2021</v>
      </c>
      <c r="E125" s="35">
        <f t="shared" si="14"/>
        <v>0</v>
      </c>
      <c r="F125" s="35">
        <f>F124</f>
        <v>0</v>
      </c>
      <c r="G125" s="35">
        <f>G124</f>
        <v>0</v>
      </c>
      <c r="H125" s="35">
        <f>H124</f>
        <v>0</v>
      </c>
      <c r="I125" s="35">
        <f>I124</f>
        <v>0</v>
      </c>
      <c r="J125" s="112" t="s">
        <v>145</v>
      </c>
      <c r="K125" s="112"/>
      <c r="L125" s="83" t="s">
        <v>145</v>
      </c>
      <c r="M125" s="83"/>
      <c r="N125" s="83"/>
      <c r="O125" s="92" t="s">
        <v>145</v>
      </c>
      <c r="P125" s="92"/>
      <c r="Q125" s="92"/>
    </row>
    <row r="126" spans="1:17" ht="87.75" customHeight="1">
      <c r="A126" s="63" t="s">
        <v>173</v>
      </c>
      <c r="B126" s="94" t="s">
        <v>144</v>
      </c>
      <c r="C126" s="69" t="s">
        <v>235</v>
      </c>
      <c r="D126" s="42" t="s">
        <v>19</v>
      </c>
      <c r="E126" s="35">
        <f>E127+E128+E129+E130+E131+E132+E133</f>
        <v>1075.76655151</v>
      </c>
      <c r="F126" s="35">
        <f>F127+F128+F129+F130+F131+F132+F133</f>
        <v>997.9316815100001</v>
      </c>
      <c r="G126" s="35">
        <f>G127+G128+G129+G130+G131+G132+G133</f>
        <v>77.83487</v>
      </c>
      <c r="H126" s="35">
        <f>H127+H128+H129+H130+H131+H132+H133</f>
        <v>0</v>
      </c>
      <c r="I126" s="35">
        <f>I127+I128+I129+I130+I131+I132+I133</f>
        <v>0</v>
      </c>
      <c r="J126" s="86" t="s">
        <v>217</v>
      </c>
      <c r="K126" s="86"/>
      <c r="L126" s="87" t="s">
        <v>218</v>
      </c>
      <c r="M126" s="87"/>
      <c r="N126" s="87"/>
      <c r="O126" s="87" t="s">
        <v>219</v>
      </c>
      <c r="P126" s="87"/>
      <c r="Q126" s="87"/>
    </row>
    <row r="127" spans="1:17" ht="15">
      <c r="A127" s="64"/>
      <c r="B127" s="95"/>
      <c r="C127" s="70"/>
      <c r="D127" s="32">
        <v>2015</v>
      </c>
      <c r="E127" s="35">
        <f aca="true" t="shared" si="15" ref="E127:E133">F127+G127+H127+I127</f>
        <v>5.8202</v>
      </c>
      <c r="F127" s="35">
        <v>5.8202</v>
      </c>
      <c r="G127" s="35">
        <v>0</v>
      </c>
      <c r="H127" s="35">
        <v>0</v>
      </c>
      <c r="I127" s="35">
        <v>0</v>
      </c>
      <c r="J127" s="112" t="s">
        <v>145</v>
      </c>
      <c r="K127" s="112"/>
      <c r="L127" s="83" t="s">
        <v>145</v>
      </c>
      <c r="M127" s="83"/>
      <c r="N127" s="83"/>
      <c r="O127" s="83" t="s">
        <v>145</v>
      </c>
      <c r="P127" s="83"/>
      <c r="Q127" s="83"/>
    </row>
    <row r="128" spans="1:17" ht="15">
      <c r="A128" s="64"/>
      <c r="B128" s="95"/>
      <c r="C128" s="70"/>
      <c r="D128" s="32">
        <v>2016</v>
      </c>
      <c r="E128" s="35">
        <f t="shared" si="15"/>
        <v>128.8101</v>
      </c>
      <c r="F128" s="35">
        <v>128.8101</v>
      </c>
      <c r="G128" s="35">
        <v>0</v>
      </c>
      <c r="H128" s="35">
        <v>0</v>
      </c>
      <c r="I128" s="35">
        <v>0</v>
      </c>
      <c r="J128" s="83">
        <v>15.2</v>
      </c>
      <c r="K128" s="83"/>
      <c r="L128" s="83">
        <v>65.8</v>
      </c>
      <c r="M128" s="83"/>
      <c r="N128" s="83"/>
      <c r="O128" s="83">
        <v>34.2</v>
      </c>
      <c r="P128" s="83"/>
      <c r="Q128" s="83"/>
    </row>
    <row r="129" spans="1:17" ht="15">
      <c r="A129" s="64"/>
      <c r="B129" s="95"/>
      <c r="C129" s="70"/>
      <c r="D129" s="32">
        <v>2017</v>
      </c>
      <c r="E129" s="35">
        <f t="shared" si="15"/>
        <v>137.42540000000005</v>
      </c>
      <c r="F129" s="35">
        <f>135.0795+0.1074+0.6474+0.1955-0.0369-0.0006+1.657+0.433794+0.131006-0.1105-0.7082+0.023+0.007</f>
        <v>137.42540000000005</v>
      </c>
      <c r="G129" s="35">
        <v>0</v>
      </c>
      <c r="H129" s="35">
        <v>0</v>
      </c>
      <c r="I129" s="35">
        <v>0</v>
      </c>
      <c r="J129" s="83">
        <v>15.2</v>
      </c>
      <c r="K129" s="83"/>
      <c r="L129" s="83">
        <v>67.2</v>
      </c>
      <c r="M129" s="83"/>
      <c r="N129" s="83"/>
      <c r="O129" s="83">
        <v>32.8</v>
      </c>
      <c r="P129" s="83"/>
      <c r="Q129" s="83"/>
    </row>
    <row r="130" spans="1:17" ht="15">
      <c r="A130" s="64"/>
      <c r="B130" s="95"/>
      <c r="C130" s="70"/>
      <c r="D130" s="32">
        <v>2018</v>
      </c>
      <c r="E130" s="52">
        <f t="shared" si="15"/>
        <v>178.41285151</v>
      </c>
      <c r="F130" s="52">
        <f>138.7599+1.59721+0.412407+0.359776+0.108652-0.000005-0.20494349+2.7555+0.8321</f>
        <v>144.62059651</v>
      </c>
      <c r="G130" s="35">
        <f>22.3206-5.26401+16.735665</f>
        <v>33.792255</v>
      </c>
      <c r="H130" s="35">
        <v>0</v>
      </c>
      <c r="I130" s="35">
        <v>0</v>
      </c>
      <c r="J130" s="83">
        <v>15.2</v>
      </c>
      <c r="K130" s="83"/>
      <c r="L130" s="83">
        <v>67.2</v>
      </c>
      <c r="M130" s="83"/>
      <c r="N130" s="83"/>
      <c r="O130" s="83">
        <v>32.8</v>
      </c>
      <c r="P130" s="83"/>
      <c r="Q130" s="83"/>
    </row>
    <row r="131" spans="1:17" ht="15">
      <c r="A131" s="64"/>
      <c r="B131" s="95"/>
      <c r="C131" s="70"/>
      <c r="D131" s="32">
        <v>2019</v>
      </c>
      <c r="E131" s="35">
        <f t="shared" si="15"/>
        <v>201.5698</v>
      </c>
      <c r="F131" s="35">
        <f>157.137085+0.3901</f>
        <v>157.527185</v>
      </c>
      <c r="G131" s="35">
        <v>44.042615</v>
      </c>
      <c r="H131" s="35">
        <v>0</v>
      </c>
      <c r="I131" s="35">
        <v>0</v>
      </c>
      <c r="J131" s="83">
        <v>15.2</v>
      </c>
      <c r="K131" s="83"/>
      <c r="L131" s="83">
        <v>67.2</v>
      </c>
      <c r="M131" s="83"/>
      <c r="N131" s="83"/>
      <c r="O131" s="83">
        <v>32.8</v>
      </c>
      <c r="P131" s="83"/>
      <c r="Q131" s="83"/>
    </row>
    <row r="132" spans="1:17" ht="15">
      <c r="A132" s="64"/>
      <c r="B132" s="95"/>
      <c r="C132" s="70"/>
      <c r="D132" s="32">
        <v>2020</v>
      </c>
      <c r="E132" s="35">
        <f t="shared" si="15"/>
        <v>207.9167</v>
      </c>
      <c r="F132" s="35">
        <v>207.9167</v>
      </c>
      <c r="G132" s="35">
        <v>0</v>
      </c>
      <c r="H132" s="35">
        <v>0</v>
      </c>
      <c r="I132" s="35">
        <v>0</v>
      </c>
      <c r="J132" s="83">
        <v>15.2</v>
      </c>
      <c r="K132" s="83"/>
      <c r="L132" s="83">
        <v>67.2</v>
      </c>
      <c r="M132" s="83"/>
      <c r="N132" s="83"/>
      <c r="O132" s="83">
        <v>32.8</v>
      </c>
      <c r="P132" s="83"/>
      <c r="Q132" s="83"/>
    </row>
    <row r="133" spans="1:17" ht="15">
      <c r="A133" s="65"/>
      <c r="B133" s="96"/>
      <c r="C133" s="71"/>
      <c r="D133" s="32">
        <v>2021</v>
      </c>
      <c r="E133" s="35">
        <f t="shared" si="15"/>
        <v>215.8115</v>
      </c>
      <c r="F133" s="35">
        <v>215.8115</v>
      </c>
      <c r="G133" s="35">
        <f>G132</f>
        <v>0</v>
      </c>
      <c r="H133" s="35">
        <f>H132</f>
        <v>0</v>
      </c>
      <c r="I133" s="35">
        <f>I132</f>
        <v>0</v>
      </c>
      <c r="J133" s="83">
        <f>J132</f>
        <v>15.2</v>
      </c>
      <c r="K133" s="83"/>
      <c r="L133" s="113">
        <f>L132</f>
        <v>67.2</v>
      </c>
      <c r="M133" s="114"/>
      <c r="N133" s="115"/>
      <c r="O133" s="113">
        <f>O132</f>
        <v>32.8</v>
      </c>
      <c r="P133" s="114"/>
      <c r="Q133" s="115"/>
    </row>
    <row r="134" spans="1:17" ht="145.5" customHeight="1">
      <c r="A134" s="63" t="s">
        <v>174</v>
      </c>
      <c r="B134" s="94" t="s">
        <v>138</v>
      </c>
      <c r="C134" s="69" t="s">
        <v>23</v>
      </c>
      <c r="D134" s="42" t="s">
        <v>19</v>
      </c>
      <c r="E134" s="35">
        <f>E135+E136+E137+E138+E139+E140+E141</f>
        <v>815.9712999999999</v>
      </c>
      <c r="F134" s="35">
        <f>F135+F136+F137+F138+F139+F140+F141</f>
        <v>0</v>
      </c>
      <c r="G134" s="35">
        <f>G135+G136+G137+G138+G139+G140+G141</f>
        <v>815.9712999999999</v>
      </c>
      <c r="H134" s="35">
        <f>H135+H136+H137+H138+H139+H140+H141</f>
        <v>0</v>
      </c>
      <c r="I134" s="35">
        <f>I135+I136+I137+I138+I139+I140+I141</f>
        <v>0</v>
      </c>
      <c r="J134" s="100" t="s">
        <v>221</v>
      </c>
      <c r="K134" s="100"/>
      <c r="L134" s="87" t="s">
        <v>222</v>
      </c>
      <c r="M134" s="87"/>
      <c r="N134" s="87" t="s">
        <v>220</v>
      </c>
      <c r="O134" s="87"/>
      <c r="P134" s="87" t="s">
        <v>223</v>
      </c>
      <c r="Q134" s="87"/>
    </row>
    <row r="135" spans="1:17" ht="14.25" customHeight="1">
      <c r="A135" s="64"/>
      <c r="B135" s="95"/>
      <c r="C135" s="70"/>
      <c r="D135" s="32">
        <v>2015</v>
      </c>
      <c r="E135" s="35">
        <f aca="true" t="shared" si="16" ref="E135:E141">F135+G135+H135+I135</f>
        <v>94.5699</v>
      </c>
      <c r="F135" s="35">
        <v>0</v>
      </c>
      <c r="G135" s="35">
        <v>94.5699</v>
      </c>
      <c r="H135" s="35">
        <v>0</v>
      </c>
      <c r="I135" s="35">
        <v>0</v>
      </c>
      <c r="J135" s="62">
        <v>100</v>
      </c>
      <c r="K135" s="62"/>
      <c r="L135" s="92">
        <v>100</v>
      </c>
      <c r="M135" s="92"/>
      <c r="N135" s="92">
        <v>100</v>
      </c>
      <c r="O135" s="92"/>
      <c r="P135" s="92">
        <v>100</v>
      </c>
      <c r="Q135" s="92"/>
    </row>
    <row r="136" spans="1:17" ht="12.75" customHeight="1">
      <c r="A136" s="64"/>
      <c r="B136" s="95"/>
      <c r="C136" s="70"/>
      <c r="D136" s="32">
        <v>2016</v>
      </c>
      <c r="E136" s="35">
        <f t="shared" si="16"/>
        <v>113.0179</v>
      </c>
      <c r="F136" s="35">
        <v>0</v>
      </c>
      <c r="G136" s="35">
        <v>113.0179</v>
      </c>
      <c r="H136" s="35">
        <v>0</v>
      </c>
      <c r="I136" s="35">
        <v>0</v>
      </c>
      <c r="J136" s="62">
        <v>100</v>
      </c>
      <c r="K136" s="62"/>
      <c r="L136" s="92">
        <v>100</v>
      </c>
      <c r="M136" s="92"/>
      <c r="N136" s="92">
        <v>100</v>
      </c>
      <c r="O136" s="92"/>
      <c r="P136" s="92">
        <v>100</v>
      </c>
      <c r="Q136" s="92"/>
    </row>
    <row r="137" spans="1:17" ht="14.25" customHeight="1">
      <c r="A137" s="64"/>
      <c r="B137" s="95"/>
      <c r="C137" s="70"/>
      <c r="D137" s="32">
        <v>2017</v>
      </c>
      <c r="E137" s="35">
        <f t="shared" si="16"/>
        <v>118.0627</v>
      </c>
      <c r="F137" s="35">
        <v>0</v>
      </c>
      <c r="G137" s="35">
        <f>121.3319-2.3792-0.89</f>
        <v>118.0627</v>
      </c>
      <c r="H137" s="35">
        <v>0</v>
      </c>
      <c r="I137" s="35">
        <v>0</v>
      </c>
      <c r="J137" s="62">
        <v>100</v>
      </c>
      <c r="K137" s="62"/>
      <c r="L137" s="92">
        <v>100</v>
      </c>
      <c r="M137" s="92"/>
      <c r="N137" s="92">
        <v>100</v>
      </c>
      <c r="O137" s="92"/>
      <c r="P137" s="92">
        <v>100</v>
      </c>
      <c r="Q137" s="92"/>
    </row>
    <row r="138" spans="1:17" ht="14.25" customHeight="1">
      <c r="A138" s="64"/>
      <c r="B138" s="95"/>
      <c r="C138" s="70"/>
      <c r="D138" s="32">
        <v>2018</v>
      </c>
      <c r="E138" s="35">
        <f t="shared" si="16"/>
        <v>122.8644</v>
      </c>
      <c r="F138" s="35">
        <v>0</v>
      </c>
      <c r="G138" s="35">
        <f>125.6003-1.0496-1.6863</f>
        <v>122.8644</v>
      </c>
      <c r="H138" s="35">
        <v>0</v>
      </c>
      <c r="I138" s="35">
        <v>0</v>
      </c>
      <c r="J138" s="62">
        <v>100</v>
      </c>
      <c r="K138" s="62"/>
      <c r="L138" s="92" t="s">
        <v>145</v>
      </c>
      <c r="M138" s="92"/>
      <c r="N138" s="92">
        <v>100</v>
      </c>
      <c r="O138" s="92"/>
      <c r="P138" s="92">
        <v>100</v>
      </c>
      <c r="Q138" s="92"/>
    </row>
    <row r="139" spans="1:17" ht="12.75" customHeight="1">
      <c r="A139" s="64"/>
      <c r="B139" s="95"/>
      <c r="C139" s="70"/>
      <c r="D139" s="32">
        <v>2019</v>
      </c>
      <c r="E139" s="35">
        <f t="shared" si="16"/>
        <v>123.45089999999998</v>
      </c>
      <c r="F139" s="35">
        <v>0</v>
      </c>
      <c r="G139" s="35">
        <f>126.8629+2.9766-4.1654-2.2232</f>
        <v>123.45089999999998</v>
      </c>
      <c r="H139" s="35">
        <v>0</v>
      </c>
      <c r="I139" s="35">
        <v>0</v>
      </c>
      <c r="J139" s="62">
        <v>100</v>
      </c>
      <c r="K139" s="62"/>
      <c r="L139" s="92" t="s">
        <v>145</v>
      </c>
      <c r="M139" s="92"/>
      <c r="N139" s="92">
        <v>100</v>
      </c>
      <c r="O139" s="92"/>
      <c r="P139" s="92">
        <v>100</v>
      </c>
      <c r="Q139" s="92"/>
    </row>
    <row r="140" spans="1:17" ht="15">
      <c r="A140" s="64"/>
      <c r="B140" s="95"/>
      <c r="C140" s="70"/>
      <c r="D140" s="32">
        <v>2020</v>
      </c>
      <c r="E140" s="35">
        <f t="shared" si="16"/>
        <v>118.0139</v>
      </c>
      <c r="F140" s="35">
        <v>0</v>
      </c>
      <c r="G140" s="35">
        <v>118.0139</v>
      </c>
      <c r="H140" s="35">
        <v>0</v>
      </c>
      <c r="I140" s="35">
        <v>0</v>
      </c>
      <c r="J140" s="62">
        <v>100</v>
      </c>
      <c r="K140" s="62"/>
      <c r="L140" s="92" t="s">
        <v>145</v>
      </c>
      <c r="M140" s="92"/>
      <c r="N140" s="92">
        <v>100</v>
      </c>
      <c r="O140" s="92"/>
      <c r="P140" s="92">
        <v>100</v>
      </c>
      <c r="Q140" s="92"/>
    </row>
    <row r="141" spans="1:17" ht="15">
      <c r="A141" s="65"/>
      <c r="B141" s="96"/>
      <c r="C141" s="71"/>
      <c r="D141" s="32">
        <v>2021</v>
      </c>
      <c r="E141" s="35">
        <f t="shared" si="16"/>
        <v>125.9916</v>
      </c>
      <c r="F141" s="35">
        <f>F140</f>
        <v>0</v>
      </c>
      <c r="G141" s="35">
        <v>125.9916</v>
      </c>
      <c r="H141" s="35">
        <f>H140</f>
        <v>0</v>
      </c>
      <c r="I141" s="35">
        <f>I140</f>
        <v>0</v>
      </c>
      <c r="J141" s="75">
        <f>J140</f>
        <v>100</v>
      </c>
      <c r="K141" s="77"/>
      <c r="L141" s="75" t="str">
        <f>L140</f>
        <v>-</v>
      </c>
      <c r="M141" s="77"/>
      <c r="N141" s="75">
        <f>N140</f>
        <v>100</v>
      </c>
      <c r="O141" s="77"/>
      <c r="P141" s="75">
        <f>P140</f>
        <v>100</v>
      </c>
      <c r="Q141" s="77"/>
    </row>
    <row r="142" spans="1:17" ht="30.75" customHeight="1">
      <c r="A142" s="63" t="s">
        <v>181</v>
      </c>
      <c r="B142" s="66" t="s">
        <v>140</v>
      </c>
      <c r="C142" s="69" t="s">
        <v>23</v>
      </c>
      <c r="D142" s="42" t="s">
        <v>19</v>
      </c>
      <c r="E142" s="35">
        <f>E143+E144+E145+E146+E147+E148+E149</f>
        <v>450.703</v>
      </c>
      <c r="F142" s="35">
        <f>F143+F144+F145+F146+F147+F148+F149</f>
        <v>0</v>
      </c>
      <c r="G142" s="35">
        <f>G143+G144+G145+G146+G147+G148+G149</f>
        <v>450.703</v>
      </c>
      <c r="H142" s="35">
        <f>H143+H144+H145+H146+H147+H148+H149</f>
        <v>0</v>
      </c>
      <c r="I142" s="35">
        <f>I143+I144+I145+I146+I147+I148+I149</f>
        <v>0</v>
      </c>
      <c r="J142" s="83" t="s">
        <v>197</v>
      </c>
      <c r="K142" s="83"/>
      <c r="L142" s="83"/>
      <c r="M142" s="83"/>
      <c r="N142" s="83"/>
      <c r="O142" s="83"/>
      <c r="P142" s="83"/>
      <c r="Q142" s="83"/>
    </row>
    <row r="143" spans="1:17" ht="15">
      <c r="A143" s="64"/>
      <c r="B143" s="67"/>
      <c r="C143" s="70"/>
      <c r="D143" s="32">
        <v>2015</v>
      </c>
      <c r="E143" s="35">
        <f aca="true" t="shared" si="17" ref="E143:E149">F143+G143+H143+I143</f>
        <v>65.3578</v>
      </c>
      <c r="F143" s="35">
        <v>0</v>
      </c>
      <c r="G143" s="35">
        <v>65.3578</v>
      </c>
      <c r="H143" s="35">
        <v>0</v>
      </c>
      <c r="I143" s="35">
        <v>0</v>
      </c>
      <c r="J143" s="62">
        <v>100</v>
      </c>
      <c r="K143" s="62"/>
      <c r="L143" s="62"/>
      <c r="M143" s="62"/>
      <c r="N143" s="62"/>
      <c r="O143" s="62"/>
      <c r="P143" s="62"/>
      <c r="Q143" s="62"/>
    </row>
    <row r="144" spans="1:17" ht="15">
      <c r="A144" s="64"/>
      <c r="B144" s="67"/>
      <c r="C144" s="70"/>
      <c r="D144" s="32">
        <v>2016</v>
      </c>
      <c r="E144" s="35">
        <f t="shared" si="17"/>
        <v>74</v>
      </c>
      <c r="F144" s="35">
        <v>0</v>
      </c>
      <c r="G144" s="35">
        <v>74</v>
      </c>
      <c r="H144" s="35">
        <v>0</v>
      </c>
      <c r="I144" s="35">
        <v>0</v>
      </c>
      <c r="J144" s="62">
        <v>100</v>
      </c>
      <c r="K144" s="62"/>
      <c r="L144" s="62"/>
      <c r="M144" s="62"/>
      <c r="N144" s="62"/>
      <c r="O144" s="62"/>
      <c r="P144" s="62"/>
      <c r="Q144" s="62"/>
    </row>
    <row r="145" spans="1:17" ht="15">
      <c r="A145" s="64"/>
      <c r="B145" s="67"/>
      <c r="C145" s="70"/>
      <c r="D145" s="32">
        <v>2017</v>
      </c>
      <c r="E145" s="35">
        <f t="shared" si="17"/>
        <v>66.4092</v>
      </c>
      <c r="F145" s="35">
        <v>0</v>
      </c>
      <c r="G145" s="35">
        <f>73.3567-12.5375+5.59</f>
        <v>66.4092</v>
      </c>
      <c r="H145" s="35">
        <v>0</v>
      </c>
      <c r="I145" s="35">
        <v>0</v>
      </c>
      <c r="J145" s="62">
        <v>100</v>
      </c>
      <c r="K145" s="62"/>
      <c r="L145" s="62"/>
      <c r="M145" s="62"/>
      <c r="N145" s="62"/>
      <c r="O145" s="62"/>
      <c r="P145" s="62"/>
      <c r="Q145" s="62"/>
    </row>
    <row r="146" spans="1:17" ht="15">
      <c r="A146" s="64"/>
      <c r="B146" s="67"/>
      <c r="C146" s="70"/>
      <c r="D146" s="32">
        <v>2018</v>
      </c>
      <c r="E146" s="35">
        <f t="shared" si="17"/>
        <v>59.03040000000001</v>
      </c>
      <c r="F146" s="35">
        <v>0</v>
      </c>
      <c r="G146" s="35">
        <f>66.066+5.4869-4.986-0.8-2.3535-4.383</f>
        <v>59.03040000000001</v>
      </c>
      <c r="H146" s="35">
        <v>0</v>
      </c>
      <c r="I146" s="35">
        <v>0</v>
      </c>
      <c r="J146" s="62">
        <v>100</v>
      </c>
      <c r="K146" s="62"/>
      <c r="L146" s="62"/>
      <c r="M146" s="62"/>
      <c r="N146" s="62"/>
      <c r="O146" s="62"/>
      <c r="P146" s="62"/>
      <c r="Q146" s="62"/>
    </row>
    <row r="147" spans="1:17" ht="15">
      <c r="A147" s="64"/>
      <c r="B147" s="67"/>
      <c r="C147" s="70"/>
      <c r="D147" s="32">
        <v>2019</v>
      </c>
      <c r="E147" s="35">
        <f t="shared" si="17"/>
        <v>39.092200000000005</v>
      </c>
      <c r="F147" s="35">
        <v>0</v>
      </c>
      <c r="G147" s="35">
        <f>56.9264-0.001-15.946-1.8872</f>
        <v>39.092200000000005</v>
      </c>
      <c r="H147" s="35">
        <v>0</v>
      </c>
      <c r="I147" s="35">
        <v>0</v>
      </c>
      <c r="J147" s="62">
        <v>100</v>
      </c>
      <c r="K147" s="62"/>
      <c r="L147" s="62"/>
      <c r="M147" s="62"/>
      <c r="N147" s="62"/>
      <c r="O147" s="62"/>
      <c r="P147" s="62"/>
      <c r="Q147" s="62"/>
    </row>
    <row r="148" spans="1:17" ht="15">
      <c r="A148" s="64"/>
      <c r="B148" s="67"/>
      <c r="C148" s="70"/>
      <c r="D148" s="32">
        <v>2020</v>
      </c>
      <c r="E148" s="35">
        <f t="shared" si="17"/>
        <v>73.4067</v>
      </c>
      <c r="F148" s="35">
        <v>0</v>
      </c>
      <c r="G148" s="35">
        <v>73.4067</v>
      </c>
      <c r="H148" s="35">
        <v>0</v>
      </c>
      <c r="I148" s="35">
        <v>0</v>
      </c>
      <c r="J148" s="62">
        <v>100</v>
      </c>
      <c r="K148" s="62"/>
      <c r="L148" s="62"/>
      <c r="M148" s="62"/>
      <c r="N148" s="62"/>
      <c r="O148" s="62"/>
      <c r="P148" s="62"/>
      <c r="Q148" s="62"/>
    </row>
    <row r="149" spans="1:17" ht="15">
      <c r="A149" s="65"/>
      <c r="B149" s="68"/>
      <c r="C149" s="71"/>
      <c r="D149" s="32">
        <v>2021</v>
      </c>
      <c r="E149" s="35">
        <f t="shared" si="17"/>
        <v>73.4067</v>
      </c>
      <c r="F149" s="35">
        <f>F148</f>
        <v>0</v>
      </c>
      <c r="G149" s="35">
        <v>73.4067</v>
      </c>
      <c r="H149" s="35">
        <f>H148</f>
        <v>0</v>
      </c>
      <c r="I149" s="35">
        <f>I148</f>
        <v>0</v>
      </c>
      <c r="J149" s="75">
        <f>J148</f>
        <v>100</v>
      </c>
      <c r="K149" s="76"/>
      <c r="L149" s="76"/>
      <c r="M149" s="76"/>
      <c r="N149" s="76"/>
      <c r="O149" s="76"/>
      <c r="P149" s="76"/>
      <c r="Q149" s="77"/>
    </row>
    <row r="150" spans="1:17" ht="15" customHeight="1">
      <c r="A150" s="63" t="s">
        <v>175</v>
      </c>
      <c r="B150" s="66" t="s">
        <v>141</v>
      </c>
      <c r="C150" s="69" t="s">
        <v>235</v>
      </c>
      <c r="D150" s="42" t="s">
        <v>19</v>
      </c>
      <c r="E150" s="35">
        <f>E151+E152+E153+E154+E155+E156+E157</f>
        <v>8.2914</v>
      </c>
      <c r="F150" s="35">
        <f>F151+F152+F153+F154+F155+F156+F157</f>
        <v>8.2914</v>
      </c>
      <c r="G150" s="35">
        <f>G151+G152+G153+G154+G155+G156+G157</f>
        <v>0</v>
      </c>
      <c r="H150" s="35">
        <f>H151+H152+H153+H154+H155+H156+H157</f>
        <v>0</v>
      </c>
      <c r="I150" s="35">
        <f>I151+I152+I153+I154+I155+I156+I157</f>
        <v>0</v>
      </c>
      <c r="J150" s="116" t="s">
        <v>145</v>
      </c>
      <c r="K150" s="117"/>
      <c r="L150" s="117"/>
      <c r="M150" s="117"/>
      <c r="N150" s="117"/>
      <c r="O150" s="117"/>
      <c r="P150" s="117"/>
      <c r="Q150" s="118"/>
    </row>
    <row r="151" spans="1:17" ht="15">
      <c r="A151" s="64"/>
      <c r="B151" s="67"/>
      <c r="C151" s="70"/>
      <c r="D151" s="32">
        <v>2015</v>
      </c>
      <c r="E151" s="35">
        <f aca="true" t="shared" si="18" ref="E151:E157">F151+G151+H151+I151</f>
        <v>1.0956</v>
      </c>
      <c r="F151" s="35">
        <v>1.0956</v>
      </c>
      <c r="G151" s="35">
        <v>0</v>
      </c>
      <c r="H151" s="35">
        <v>0</v>
      </c>
      <c r="I151" s="35">
        <v>0</v>
      </c>
      <c r="J151" s="119"/>
      <c r="K151" s="120"/>
      <c r="L151" s="120"/>
      <c r="M151" s="120"/>
      <c r="N151" s="120"/>
      <c r="O151" s="120"/>
      <c r="P151" s="120"/>
      <c r="Q151" s="121"/>
    </row>
    <row r="152" spans="1:17" ht="15">
      <c r="A152" s="64"/>
      <c r="B152" s="67"/>
      <c r="C152" s="70"/>
      <c r="D152" s="32">
        <v>2016</v>
      </c>
      <c r="E152" s="35">
        <f t="shared" si="18"/>
        <v>0.8033</v>
      </c>
      <c r="F152" s="35">
        <v>0.8033</v>
      </c>
      <c r="G152" s="35">
        <v>0</v>
      </c>
      <c r="H152" s="35">
        <v>0</v>
      </c>
      <c r="I152" s="35">
        <v>0</v>
      </c>
      <c r="J152" s="119"/>
      <c r="K152" s="120"/>
      <c r="L152" s="120"/>
      <c r="M152" s="120"/>
      <c r="N152" s="120"/>
      <c r="O152" s="120"/>
      <c r="P152" s="120"/>
      <c r="Q152" s="121"/>
    </row>
    <row r="153" spans="1:17" ht="15">
      <c r="A153" s="64"/>
      <c r="B153" s="67"/>
      <c r="C153" s="70"/>
      <c r="D153" s="32">
        <v>2017</v>
      </c>
      <c r="E153" s="35">
        <f t="shared" si="18"/>
        <v>1.0665</v>
      </c>
      <c r="F153" s="35">
        <f>0.7436+0.1965+0.1464-0.02</f>
        <v>1.0665</v>
      </c>
      <c r="G153" s="35">
        <v>0</v>
      </c>
      <c r="H153" s="35">
        <v>0</v>
      </c>
      <c r="I153" s="35">
        <v>0</v>
      </c>
      <c r="J153" s="119"/>
      <c r="K153" s="120"/>
      <c r="L153" s="120"/>
      <c r="M153" s="120"/>
      <c r="N153" s="120"/>
      <c r="O153" s="120"/>
      <c r="P153" s="120"/>
      <c r="Q153" s="121"/>
    </row>
    <row r="154" spans="1:17" ht="15">
      <c r="A154" s="64"/>
      <c r="B154" s="67"/>
      <c r="C154" s="70"/>
      <c r="D154" s="32">
        <v>2018</v>
      </c>
      <c r="E154" s="35">
        <f t="shared" si="18"/>
        <v>1.4340000000000002</v>
      </c>
      <c r="F154" s="35">
        <f>0.7436+0.4393+0.2511</f>
        <v>1.4340000000000002</v>
      </c>
      <c r="G154" s="35">
        <v>0</v>
      </c>
      <c r="H154" s="35">
        <v>0</v>
      </c>
      <c r="I154" s="35">
        <v>0</v>
      </c>
      <c r="J154" s="119"/>
      <c r="K154" s="120"/>
      <c r="L154" s="120"/>
      <c r="M154" s="120"/>
      <c r="N154" s="120"/>
      <c r="O154" s="120"/>
      <c r="P154" s="120"/>
      <c r="Q154" s="121"/>
    </row>
    <row r="155" spans="1:17" ht="15">
      <c r="A155" s="64"/>
      <c r="B155" s="67"/>
      <c r="C155" s="70"/>
      <c r="D155" s="32">
        <v>2019</v>
      </c>
      <c r="E155" s="35">
        <f t="shared" si="18"/>
        <v>2.4048</v>
      </c>
      <c r="F155" s="35">
        <f>0.7436+0.49-0.02+1.0372+0.025+0.129</f>
        <v>2.4048</v>
      </c>
      <c r="G155" s="35">
        <v>0</v>
      </c>
      <c r="H155" s="35">
        <v>0</v>
      </c>
      <c r="I155" s="35">
        <v>0</v>
      </c>
      <c r="J155" s="119"/>
      <c r="K155" s="120"/>
      <c r="L155" s="120"/>
      <c r="M155" s="120"/>
      <c r="N155" s="120"/>
      <c r="O155" s="120"/>
      <c r="P155" s="120"/>
      <c r="Q155" s="121"/>
    </row>
    <row r="156" spans="1:17" ht="15">
      <c r="A156" s="64"/>
      <c r="B156" s="67"/>
      <c r="C156" s="70"/>
      <c r="D156" s="32">
        <v>2020</v>
      </c>
      <c r="E156" s="35">
        <f t="shared" si="18"/>
        <v>0.7436</v>
      </c>
      <c r="F156" s="35">
        <v>0.7436</v>
      </c>
      <c r="G156" s="35">
        <v>0</v>
      </c>
      <c r="H156" s="35">
        <v>0</v>
      </c>
      <c r="I156" s="35">
        <v>0</v>
      </c>
      <c r="J156" s="119"/>
      <c r="K156" s="120"/>
      <c r="L156" s="120"/>
      <c r="M156" s="120"/>
      <c r="N156" s="120"/>
      <c r="O156" s="120"/>
      <c r="P156" s="120"/>
      <c r="Q156" s="121"/>
    </row>
    <row r="157" spans="1:17" ht="15">
      <c r="A157" s="65"/>
      <c r="B157" s="68"/>
      <c r="C157" s="71"/>
      <c r="D157" s="32">
        <v>2021</v>
      </c>
      <c r="E157" s="35">
        <f t="shared" si="18"/>
        <v>0.7436</v>
      </c>
      <c r="F157" s="35">
        <v>0.7436</v>
      </c>
      <c r="G157" s="35">
        <f>G156</f>
        <v>0</v>
      </c>
      <c r="H157" s="35">
        <f>H156</f>
        <v>0</v>
      </c>
      <c r="I157" s="35">
        <f>I156</f>
        <v>0</v>
      </c>
      <c r="J157" s="122"/>
      <c r="K157" s="123"/>
      <c r="L157" s="123"/>
      <c r="M157" s="123"/>
      <c r="N157" s="123"/>
      <c r="O157" s="123"/>
      <c r="P157" s="123"/>
      <c r="Q157" s="124"/>
    </row>
    <row r="158" spans="1:17" ht="15" customHeight="1">
      <c r="A158" s="63" t="s">
        <v>176</v>
      </c>
      <c r="B158" s="66" t="s">
        <v>142</v>
      </c>
      <c r="C158" s="69" t="s">
        <v>232</v>
      </c>
      <c r="D158" s="42" t="s">
        <v>19</v>
      </c>
      <c r="E158" s="35">
        <f>E159+E160+E161+E162+E163+E164+E165</f>
        <v>2.3674</v>
      </c>
      <c r="F158" s="35">
        <f>F159+F160+F161+F162+F163+F164+F165</f>
        <v>2.3674</v>
      </c>
      <c r="G158" s="35">
        <f>G159+G160+G161+G162+G163+G164+G165</f>
        <v>0</v>
      </c>
      <c r="H158" s="35">
        <f>H159+H160+H161+H162+H163+H164+H165</f>
        <v>0</v>
      </c>
      <c r="I158" s="35">
        <f>I159+I160+I161+I162+I163+I164+I165</f>
        <v>0</v>
      </c>
      <c r="J158" s="116" t="s">
        <v>145</v>
      </c>
      <c r="K158" s="117"/>
      <c r="L158" s="117"/>
      <c r="M158" s="117"/>
      <c r="N158" s="117"/>
      <c r="O158" s="117"/>
      <c r="P158" s="117"/>
      <c r="Q158" s="118"/>
    </row>
    <row r="159" spans="1:17" ht="15">
      <c r="A159" s="64"/>
      <c r="B159" s="67"/>
      <c r="C159" s="70"/>
      <c r="D159" s="32">
        <v>2015</v>
      </c>
      <c r="E159" s="35">
        <f aca="true" t="shared" si="19" ref="E159:E165">F159+G159+H159+I159</f>
        <v>0.3044</v>
      </c>
      <c r="F159" s="35">
        <v>0.3044</v>
      </c>
      <c r="G159" s="35">
        <v>0</v>
      </c>
      <c r="H159" s="35">
        <v>0</v>
      </c>
      <c r="I159" s="35">
        <v>0</v>
      </c>
      <c r="J159" s="119"/>
      <c r="K159" s="120"/>
      <c r="L159" s="120"/>
      <c r="M159" s="120"/>
      <c r="N159" s="120"/>
      <c r="O159" s="120"/>
      <c r="P159" s="120"/>
      <c r="Q159" s="121"/>
    </row>
    <row r="160" spans="1:17" ht="15">
      <c r="A160" s="64"/>
      <c r="B160" s="67"/>
      <c r="C160" s="70"/>
      <c r="D160" s="32">
        <v>2016</v>
      </c>
      <c r="E160" s="35">
        <f t="shared" si="19"/>
        <v>0.2842</v>
      </c>
      <c r="F160" s="35">
        <v>0.2842</v>
      </c>
      <c r="G160" s="35">
        <v>0</v>
      </c>
      <c r="H160" s="35">
        <v>0</v>
      </c>
      <c r="I160" s="35">
        <v>0</v>
      </c>
      <c r="J160" s="119"/>
      <c r="K160" s="120"/>
      <c r="L160" s="120"/>
      <c r="M160" s="120"/>
      <c r="N160" s="120"/>
      <c r="O160" s="120"/>
      <c r="P160" s="120"/>
      <c r="Q160" s="121"/>
    </row>
    <row r="161" spans="1:17" ht="15">
      <c r="A161" s="64"/>
      <c r="B161" s="67"/>
      <c r="C161" s="70"/>
      <c r="D161" s="32">
        <v>2017</v>
      </c>
      <c r="E161" s="35">
        <f t="shared" si="19"/>
        <v>0.2351</v>
      </c>
      <c r="F161" s="35">
        <v>0.2351</v>
      </c>
      <c r="G161" s="35">
        <v>0</v>
      </c>
      <c r="H161" s="35">
        <v>0</v>
      </c>
      <c r="I161" s="35">
        <v>0</v>
      </c>
      <c r="J161" s="119"/>
      <c r="K161" s="120"/>
      <c r="L161" s="120"/>
      <c r="M161" s="120"/>
      <c r="N161" s="120"/>
      <c r="O161" s="120"/>
      <c r="P161" s="120"/>
      <c r="Q161" s="121"/>
    </row>
    <row r="162" spans="1:17" ht="15">
      <c r="A162" s="64"/>
      <c r="B162" s="67"/>
      <c r="C162" s="70"/>
      <c r="D162" s="32">
        <v>2018</v>
      </c>
      <c r="E162" s="35">
        <f t="shared" si="19"/>
        <v>0.3814</v>
      </c>
      <c r="F162" s="35">
        <f>0.3864-0.005</f>
        <v>0.3814</v>
      </c>
      <c r="G162" s="35">
        <v>0</v>
      </c>
      <c r="H162" s="35">
        <v>0</v>
      </c>
      <c r="I162" s="35">
        <v>0</v>
      </c>
      <c r="J162" s="119"/>
      <c r="K162" s="120"/>
      <c r="L162" s="120"/>
      <c r="M162" s="120"/>
      <c r="N162" s="120"/>
      <c r="O162" s="120"/>
      <c r="P162" s="120"/>
      <c r="Q162" s="121"/>
    </row>
    <row r="163" spans="1:17" ht="15">
      <c r="A163" s="64"/>
      <c r="B163" s="67"/>
      <c r="C163" s="70"/>
      <c r="D163" s="32">
        <v>2019</v>
      </c>
      <c r="E163" s="35">
        <f t="shared" si="19"/>
        <v>0.6920999999999999</v>
      </c>
      <c r="F163" s="35">
        <f>0.2351+0.237+0.02+0.2</f>
        <v>0.6920999999999999</v>
      </c>
      <c r="G163" s="35">
        <v>0</v>
      </c>
      <c r="H163" s="35">
        <v>0</v>
      </c>
      <c r="I163" s="35">
        <v>0</v>
      </c>
      <c r="J163" s="119"/>
      <c r="K163" s="120"/>
      <c r="L163" s="120"/>
      <c r="M163" s="120"/>
      <c r="N163" s="120"/>
      <c r="O163" s="120"/>
      <c r="P163" s="120"/>
      <c r="Q163" s="121"/>
    </row>
    <row r="164" spans="1:17" ht="15">
      <c r="A164" s="64"/>
      <c r="B164" s="67"/>
      <c r="C164" s="70"/>
      <c r="D164" s="32">
        <v>2020</v>
      </c>
      <c r="E164" s="35">
        <f t="shared" si="19"/>
        <v>0.2351</v>
      </c>
      <c r="F164" s="35">
        <v>0.2351</v>
      </c>
      <c r="G164" s="35">
        <v>0</v>
      </c>
      <c r="H164" s="35">
        <v>0</v>
      </c>
      <c r="I164" s="35">
        <v>0</v>
      </c>
      <c r="J164" s="119"/>
      <c r="K164" s="120"/>
      <c r="L164" s="120"/>
      <c r="M164" s="120"/>
      <c r="N164" s="120"/>
      <c r="O164" s="120"/>
      <c r="P164" s="120"/>
      <c r="Q164" s="121"/>
    </row>
    <row r="165" spans="1:17" ht="76.5" customHeight="1">
      <c r="A165" s="65"/>
      <c r="B165" s="68"/>
      <c r="C165" s="71"/>
      <c r="D165" s="32">
        <v>2021</v>
      </c>
      <c r="E165" s="35">
        <f t="shared" si="19"/>
        <v>0.2351</v>
      </c>
      <c r="F165" s="35">
        <v>0.2351</v>
      </c>
      <c r="G165" s="35">
        <f>G164</f>
        <v>0</v>
      </c>
      <c r="H165" s="35">
        <f>H164</f>
        <v>0</v>
      </c>
      <c r="I165" s="35">
        <f>I164</f>
        <v>0</v>
      </c>
      <c r="J165" s="122"/>
      <c r="K165" s="123"/>
      <c r="L165" s="123"/>
      <c r="M165" s="123"/>
      <c r="N165" s="123"/>
      <c r="O165" s="123"/>
      <c r="P165" s="123"/>
      <c r="Q165" s="124"/>
    </row>
    <row r="166" spans="1:17" ht="28.5" customHeight="1">
      <c r="A166" s="63" t="s">
        <v>177</v>
      </c>
      <c r="B166" s="66" t="s">
        <v>143</v>
      </c>
      <c r="C166" s="69" t="s">
        <v>232</v>
      </c>
      <c r="D166" s="42" t="s">
        <v>19</v>
      </c>
      <c r="E166" s="35">
        <f>E167+E168+E169+E170+E171+E172+E173</f>
        <v>141.269317</v>
      </c>
      <c r="F166" s="35">
        <f>F167+F168+F169+F170+F171+F172+F173</f>
        <v>141.269317</v>
      </c>
      <c r="G166" s="35">
        <f>G167+G168+G169+G170+G171+G172+G173</f>
        <v>0</v>
      </c>
      <c r="H166" s="35">
        <f>H167+H168+H169+H170+H171+H172+H173</f>
        <v>0</v>
      </c>
      <c r="I166" s="35">
        <f>I167+I168+I169+I170+I171+I172+I173</f>
        <v>0</v>
      </c>
      <c r="J166" s="83" t="s">
        <v>196</v>
      </c>
      <c r="K166" s="83"/>
      <c r="L166" s="83"/>
      <c r="M166" s="83"/>
      <c r="N166" s="83"/>
      <c r="O166" s="83"/>
      <c r="P166" s="83"/>
      <c r="Q166" s="83"/>
    </row>
    <row r="167" spans="1:17" ht="15">
      <c r="A167" s="64"/>
      <c r="B167" s="67"/>
      <c r="C167" s="70"/>
      <c r="D167" s="32">
        <v>2015</v>
      </c>
      <c r="E167" s="35">
        <f aca="true" t="shared" si="20" ref="E167:E173">F167+G167+H167+I167</f>
        <v>21.4908</v>
      </c>
      <c r="F167" s="35">
        <v>21.4908</v>
      </c>
      <c r="G167" s="35">
        <v>0</v>
      </c>
      <c r="H167" s="35">
        <v>0</v>
      </c>
      <c r="I167" s="35">
        <v>0</v>
      </c>
      <c r="J167" s="62">
        <v>102</v>
      </c>
      <c r="K167" s="62"/>
      <c r="L167" s="62"/>
      <c r="M167" s="62"/>
      <c r="N167" s="62"/>
      <c r="O167" s="62"/>
      <c r="P167" s="62"/>
      <c r="Q167" s="62"/>
    </row>
    <row r="168" spans="1:17" ht="15">
      <c r="A168" s="64"/>
      <c r="B168" s="67"/>
      <c r="C168" s="70"/>
      <c r="D168" s="32">
        <v>2016</v>
      </c>
      <c r="E168" s="35">
        <f t="shared" si="20"/>
        <v>17.404547</v>
      </c>
      <c r="F168" s="35">
        <v>17.404547</v>
      </c>
      <c r="G168" s="35">
        <v>0</v>
      </c>
      <c r="H168" s="35">
        <v>0</v>
      </c>
      <c r="I168" s="35">
        <v>0</v>
      </c>
      <c r="J168" s="62">
        <v>103</v>
      </c>
      <c r="K168" s="62"/>
      <c r="L168" s="62"/>
      <c r="M168" s="62"/>
      <c r="N168" s="62"/>
      <c r="O168" s="62"/>
      <c r="P168" s="62"/>
      <c r="Q168" s="62"/>
    </row>
    <row r="169" spans="1:17" ht="15">
      <c r="A169" s="64"/>
      <c r="B169" s="67"/>
      <c r="C169" s="70"/>
      <c r="D169" s="32">
        <v>2017</v>
      </c>
      <c r="E169" s="35">
        <f t="shared" si="20"/>
        <v>25.3162</v>
      </c>
      <c r="F169" s="35">
        <f>26.2552-1+0.061</f>
        <v>25.3162</v>
      </c>
      <c r="G169" s="35">
        <v>0</v>
      </c>
      <c r="H169" s="35">
        <v>0</v>
      </c>
      <c r="I169" s="35">
        <v>0</v>
      </c>
      <c r="J169" s="62">
        <v>102</v>
      </c>
      <c r="K169" s="62"/>
      <c r="L169" s="62"/>
      <c r="M169" s="62"/>
      <c r="N169" s="62"/>
      <c r="O169" s="62"/>
      <c r="P169" s="62"/>
      <c r="Q169" s="62"/>
    </row>
    <row r="170" spans="1:17" ht="15">
      <c r="A170" s="64"/>
      <c r="B170" s="67"/>
      <c r="C170" s="70"/>
      <c r="D170" s="32">
        <v>2018</v>
      </c>
      <c r="E170" s="35">
        <f t="shared" si="20"/>
        <v>39.72277</v>
      </c>
      <c r="F170" s="35">
        <f>39.3+0.42277</f>
        <v>39.72277</v>
      </c>
      <c r="G170" s="35">
        <v>0</v>
      </c>
      <c r="H170" s="35">
        <v>0</v>
      </c>
      <c r="I170" s="35">
        <v>0</v>
      </c>
      <c r="J170" s="62">
        <v>110</v>
      </c>
      <c r="K170" s="62"/>
      <c r="L170" s="62"/>
      <c r="M170" s="62"/>
      <c r="N170" s="62"/>
      <c r="O170" s="62"/>
      <c r="P170" s="62"/>
      <c r="Q170" s="62"/>
    </row>
    <row r="171" spans="1:17" ht="15">
      <c r="A171" s="64"/>
      <c r="B171" s="67"/>
      <c r="C171" s="70"/>
      <c r="D171" s="32">
        <v>2019</v>
      </c>
      <c r="E171" s="35">
        <f t="shared" si="20"/>
        <v>37.334999999999994</v>
      </c>
      <c r="F171" s="35">
        <f>37.535-0.1-0.1</f>
        <v>37.334999999999994</v>
      </c>
      <c r="G171" s="35">
        <v>0</v>
      </c>
      <c r="H171" s="35">
        <v>0</v>
      </c>
      <c r="I171" s="35">
        <v>0</v>
      </c>
      <c r="J171" s="62">
        <v>106</v>
      </c>
      <c r="K171" s="62"/>
      <c r="L171" s="62"/>
      <c r="M171" s="62"/>
      <c r="N171" s="62"/>
      <c r="O171" s="62"/>
      <c r="P171" s="62"/>
      <c r="Q171" s="62"/>
    </row>
    <row r="172" spans="1:17" ht="15">
      <c r="A172" s="64"/>
      <c r="B172" s="67"/>
      <c r="C172" s="70"/>
      <c r="D172" s="32">
        <v>2020</v>
      </c>
      <c r="E172" s="35">
        <f t="shared" si="20"/>
        <v>0</v>
      </c>
      <c r="F172" s="35">
        <v>0</v>
      </c>
      <c r="G172" s="35">
        <v>0</v>
      </c>
      <c r="H172" s="35">
        <v>0</v>
      </c>
      <c r="I172" s="35">
        <v>0</v>
      </c>
      <c r="J172" s="62" t="s">
        <v>145</v>
      </c>
      <c r="K172" s="62"/>
      <c r="L172" s="62"/>
      <c r="M172" s="62"/>
      <c r="N172" s="62"/>
      <c r="O172" s="62"/>
      <c r="P172" s="62"/>
      <c r="Q172" s="62"/>
    </row>
    <row r="173" spans="1:17" ht="63" customHeight="1">
      <c r="A173" s="65"/>
      <c r="B173" s="68"/>
      <c r="C173" s="71"/>
      <c r="D173" s="32">
        <v>2021</v>
      </c>
      <c r="E173" s="35">
        <f t="shared" si="20"/>
        <v>0</v>
      </c>
      <c r="F173" s="35">
        <f>F172</f>
        <v>0</v>
      </c>
      <c r="G173" s="35">
        <f>G172</f>
        <v>0</v>
      </c>
      <c r="H173" s="35">
        <f>H172</f>
        <v>0</v>
      </c>
      <c r="I173" s="35">
        <f>I172</f>
        <v>0</v>
      </c>
      <c r="J173" s="62" t="s">
        <v>145</v>
      </c>
      <c r="K173" s="62"/>
      <c r="L173" s="62"/>
      <c r="M173" s="62"/>
      <c r="N173" s="62"/>
      <c r="O173" s="62"/>
      <c r="P173" s="62"/>
      <c r="Q173" s="62"/>
    </row>
    <row r="174" spans="1:17" ht="54" customHeight="1">
      <c r="A174" s="63" t="s">
        <v>178</v>
      </c>
      <c r="B174" s="66" t="s">
        <v>255</v>
      </c>
      <c r="C174" s="69" t="s">
        <v>232</v>
      </c>
      <c r="D174" s="42" t="s">
        <v>19</v>
      </c>
      <c r="E174" s="35">
        <f>E175+E176+E177+E178+E179+E180+E181</f>
        <v>60.4863</v>
      </c>
      <c r="F174" s="35">
        <f>F175+F176+F177+F178+F179+F180+F181</f>
        <v>0</v>
      </c>
      <c r="G174" s="35">
        <f>G175+G176+G177+G178+G179+G180+G181</f>
        <v>60.4863</v>
      </c>
      <c r="H174" s="35">
        <f>H175+H176+H177+H178+H179+H180+H181</f>
        <v>0</v>
      </c>
      <c r="I174" s="35">
        <f>I175+I176+I177+I178+I179+I180+I181</f>
        <v>0</v>
      </c>
      <c r="J174" s="79" t="s">
        <v>246</v>
      </c>
      <c r="K174" s="79"/>
      <c r="L174" s="79"/>
      <c r="M174" s="79"/>
      <c r="N174" s="79"/>
      <c r="O174" s="79"/>
      <c r="P174" s="79"/>
      <c r="Q174" s="79"/>
    </row>
    <row r="175" spans="1:17" ht="15">
      <c r="A175" s="64"/>
      <c r="B175" s="67"/>
      <c r="C175" s="70"/>
      <c r="D175" s="32">
        <v>2015</v>
      </c>
      <c r="E175" s="35">
        <f aca="true" t="shared" si="21" ref="E175:E181">F175+G175+H175+I175</f>
        <v>10.0919</v>
      </c>
      <c r="F175" s="35">
        <v>0</v>
      </c>
      <c r="G175" s="35">
        <v>10.0919</v>
      </c>
      <c r="H175" s="35">
        <v>0</v>
      </c>
      <c r="I175" s="35">
        <v>0</v>
      </c>
      <c r="J175" s="62">
        <v>100</v>
      </c>
      <c r="K175" s="62"/>
      <c r="L175" s="62"/>
      <c r="M175" s="62"/>
      <c r="N175" s="62"/>
      <c r="O175" s="62"/>
      <c r="P175" s="62"/>
      <c r="Q175" s="62"/>
    </row>
    <row r="176" spans="1:17" ht="15">
      <c r="A176" s="64"/>
      <c r="B176" s="67"/>
      <c r="C176" s="70"/>
      <c r="D176" s="32">
        <v>2016</v>
      </c>
      <c r="E176" s="35">
        <f t="shared" si="21"/>
        <v>12.5122</v>
      </c>
      <c r="F176" s="35">
        <v>0</v>
      </c>
      <c r="G176" s="35">
        <v>12.5122</v>
      </c>
      <c r="H176" s="35">
        <v>0</v>
      </c>
      <c r="I176" s="35">
        <v>0</v>
      </c>
      <c r="J176" s="62">
        <v>100</v>
      </c>
      <c r="K176" s="62"/>
      <c r="L176" s="62"/>
      <c r="M176" s="62"/>
      <c r="N176" s="62"/>
      <c r="O176" s="62"/>
      <c r="P176" s="62"/>
      <c r="Q176" s="62"/>
    </row>
    <row r="177" spans="1:17" ht="15">
      <c r="A177" s="64"/>
      <c r="B177" s="67"/>
      <c r="C177" s="70"/>
      <c r="D177" s="32">
        <v>2017</v>
      </c>
      <c r="E177" s="35">
        <f t="shared" si="21"/>
        <v>11.442</v>
      </c>
      <c r="F177" s="35">
        <v>0</v>
      </c>
      <c r="G177" s="35">
        <f>15.1801-0.3074+0.625-4.1637+0.108</f>
        <v>11.442</v>
      </c>
      <c r="H177" s="35">
        <v>0</v>
      </c>
      <c r="I177" s="35">
        <v>0</v>
      </c>
      <c r="J177" s="62">
        <v>100</v>
      </c>
      <c r="K177" s="62"/>
      <c r="L177" s="62"/>
      <c r="M177" s="62"/>
      <c r="N177" s="62"/>
      <c r="O177" s="62"/>
      <c r="P177" s="62"/>
      <c r="Q177" s="62"/>
    </row>
    <row r="178" spans="1:17" ht="15">
      <c r="A178" s="64"/>
      <c r="B178" s="67"/>
      <c r="C178" s="70"/>
      <c r="D178" s="32">
        <v>2018</v>
      </c>
      <c r="E178" s="35">
        <f t="shared" si="21"/>
        <v>13.895</v>
      </c>
      <c r="F178" s="35">
        <v>0</v>
      </c>
      <c r="G178" s="35">
        <f>12.1467+0.1585+1.7317+0.0911-0.2955+0.0625</f>
        <v>13.895</v>
      </c>
      <c r="H178" s="35">
        <v>0</v>
      </c>
      <c r="I178" s="35">
        <v>0</v>
      </c>
      <c r="J178" s="62">
        <v>100</v>
      </c>
      <c r="K178" s="62"/>
      <c r="L178" s="62"/>
      <c r="M178" s="62"/>
      <c r="N178" s="62"/>
      <c r="O178" s="62"/>
      <c r="P178" s="62"/>
      <c r="Q178" s="62"/>
    </row>
    <row r="179" spans="1:17" ht="15">
      <c r="A179" s="64"/>
      <c r="B179" s="67"/>
      <c r="C179" s="70"/>
      <c r="D179" s="32">
        <v>2019</v>
      </c>
      <c r="E179" s="35">
        <f t="shared" si="21"/>
        <v>4.1002</v>
      </c>
      <c r="F179" s="35">
        <v>0</v>
      </c>
      <c r="G179" s="35">
        <f>14.7491-10.29875-0.22785-0.0911+0.0624+0.0625-0.0624-0.0937</f>
        <v>4.1002</v>
      </c>
      <c r="H179" s="35">
        <v>0</v>
      </c>
      <c r="I179" s="35">
        <v>0</v>
      </c>
      <c r="J179" s="62">
        <v>100</v>
      </c>
      <c r="K179" s="62"/>
      <c r="L179" s="62"/>
      <c r="M179" s="62"/>
      <c r="N179" s="62"/>
      <c r="O179" s="62"/>
      <c r="P179" s="62"/>
      <c r="Q179" s="62"/>
    </row>
    <row r="180" spans="1:17" ht="15">
      <c r="A180" s="64"/>
      <c r="B180" s="67"/>
      <c r="C180" s="70"/>
      <c r="D180" s="32">
        <v>2020</v>
      </c>
      <c r="E180" s="35">
        <f t="shared" si="21"/>
        <v>4.2225</v>
      </c>
      <c r="F180" s="35">
        <v>0</v>
      </c>
      <c r="G180" s="35">
        <f>14.7491-10.29875-0.22785</f>
        <v>4.2225</v>
      </c>
      <c r="H180" s="35">
        <v>0</v>
      </c>
      <c r="I180" s="35">
        <v>0</v>
      </c>
      <c r="J180" s="62">
        <v>100</v>
      </c>
      <c r="K180" s="62"/>
      <c r="L180" s="62"/>
      <c r="M180" s="62"/>
      <c r="N180" s="62"/>
      <c r="O180" s="62"/>
      <c r="P180" s="62"/>
      <c r="Q180" s="62"/>
    </row>
    <row r="181" spans="1:17" ht="25.5" customHeight="1">
      <c r="A181" s="65"/>
      <c r="B181" s="68"/>
      <c r="C181" s="71"/>
      <c r="D181" s="32">
        <v>2021</v>
      </c>
      <c r="E181" s="35">
        <f t="shared" si="21"/>
        <v>4.2225</v>
      </c>
      <c r="F181" s="35">
        <f>F180</f>
        <v>0</v>
      </c>
      <c r="G181" s="35">
        <f>14.7491-10.29875-0.22785</f>
        <v>4.2225</v>
      </c>
      <c r="H181" s="35">
        <f>H180</f>
        <v>0</v>
      </c>
      <c r="I181" s="35">
        <f>I180</f>
        <v>0</v>
      </c>
      <c r="J181" s="75">
        <f>J180</f>
        <v>100</v>
      </c>
      <c r="K181" s="76"/>
      <c r="L181" s="76"/>
      <c r="M181" s="76"/>
      <c r="N181" s="76"/>
      <c r="O181" s="76"/>
      <c r="P181" s="76"/>
      <c r="Q181" s="77"/>
    </row>
    <row r="182" spans="1:17" ht="27.75" customHeight="1">
      <c r="A182" s="63" t="s">
        <v>179</v>
      </c>
      <c r="B182" s="66" t="s">
        <v>148</v>
      </c>
      <c r="C182" s="69" t="s">
        <v>232</v>
      </c>
      <c r="D182" s="42" t="s">
        <v>19</v>
      </c>
      <c r="E182" s="35">
        <f>E183+E184+E185+E186+E187+E188+E189</f>
        <v>7.250170000000001</v>
      </c>
      <c r="F182" s="35">
        <f>F183+F184+F185+F186+F187+F188+F189</f>
        <v>0</v>
      </c>
      <c r="G182" s="35">
        <f>G183+G184+G185+G186+G187+G188+G189</f>
        <v>1.64967</v>
      </c>
      <c r="H182" s="35">
        <f>H183+H184+H185+H186+H187+H188+H189</f>
        <v>5.6005</v>
      </c>
      <c r="I182" s="35">
        <f>I183+I184+I185+I186+I187+I188+I189</f>
        <v>0</v>
      </c>
      <c r="J182" s="79" t="s">
        <v>193</v>
      </c>
      <c r="K182" s="79"/>
      <c r="L182" s="79"/>
      <c r="M182" s="79"/>
      <c r="N182" s="79"/>
      <c r="O182" s="79"/>
      <c r="P182" s="79"/>
      <c r="Q182" s="79"/>
    </row>
    <row r="183" spans="1:17" ht="15">
      <c r="A183" s="64"/>
      <c r="B183" s="67"/>
      <c r="C183" s="70"/>
      <c r="D183" s="32">
        <v>2015</v>
      </c>
      <c r="E183" s="35">
        <f aca="true" t="shared" si="22" ref="E183:E189">F183+G183+H183+I183</f>
        <v>0</v>
      </c>
      <c r="F183" s="35">
        <v>0</v>
      </c>
      <c r="G183" s="35">
        <v>0</v>
      </c>
      <c r="H183" s="35">
        <v>0</v>
      </c>
      <c r="I183" s="35">
        <v>0</v>
      </c>
      <c r="J183" s="79" t="s">
        <v>145</v>
      </c>
      <c r="K183" s="79"/>
      <c r="L183" s="79"/>
      <c r="M183" s="79"/>
      <c r="N183" s="79"/>
      <c r="O183" s="79"/>
      <c r="P183" s="79"/>
      <c r="Q183" s="79"/>
    </row>
    <row r="184" spans="1:17" ht="15">
      <c r="A184" s="64"/>
      <c r="B184" s="67"/>
      <c r="C184" s="70"/>
      <c r="D184" s="32">
        <v>2016</v>
      </c>
      <c r="E184" s="35">
        <f t="shared" si="22"/>
        <v>4.8619</v>
      </c>
      <c r="F184" s="35">
        <v>0</v>
      </c>
      <c r="G184" s="35">
        <v>1.4586</v>
      </c>
      <c r="H184" s="35">
        <v>3.4033</v>
      </c>
      <c r="I184" s="35">
        <v>0</v>
      </c>
      <c r="J184" s="83">
        <v>4.1</v>
      </c>
      <c r="K184" s="83"/>
      <c r="L184" s="83"/>
      <c r="M184" s="83"/>
      <c r="N184" s="83"/>
      <c r="O184" s="83"/>
      <c r="P184" s="83"/>
      <c r="Q184" s="83"/>
    </row>
    <row r="185" spans="1:17" ht="15">
      <c r="A185" s="64"/>
      <c r="B185" s="67"/>
      <c r="C185" s="70"/>
      <c r="D185" s="32">
        <v>2017</v>
      </c>
      <c r="E185" s="35">
        <f t="shared" si="22"/>
        <v>0</v>
      </c>
      <c r="F185" s="35">
        <v>0</v>
      </c>
      <c r="G185" s="35">
        <v>0</v>
      </c>
      <c r="H185" s="35">
        <v>0</v>
      </c>
      <c r="I185" s="35">
        <v>0</v>
      </c>
      <c r="J185" s="79" t="s">
        <v>145</v>
      </c>
      <c r="K185" s="79"/>
      <c r="L185" s="79"/>
      <c r="M185" s="79"/>
      <c r="N185" s="79"/>
      <c r="O185" s="79"/>
      <c r="P185" s="79"/>
      <c r="Q185" s="79"/>
    </row>
    <row r="186" spans="1:17" ht="15">
      <c r="A186" s="64"/>
      <c r="B186" s="67"/>
      <c r="C186" s="70"/>
      <c r="D186" s="32">
        <v>2018</v>
      </c>
      <c r="E186" s="35">
        <f t="shared" si="22"/>
        <v>1.25</v>
      </c>
      <c r="F186" s="35">
        <v>0</v>
      </c>
      <c r="G186" s="35">
        <v>0.1</v>
      </c>
      <c r="H186" s="35">
        <v>1.15</v>
      </c>
      <c r="I186" s="35">
        <v>0</v>
      </c>
      <c r="J186" s="83">
        <v>4.9</v>
      </c>
      <c r="K186" s="83"/>
      <c r="L186" s="83"/>
      <c r="M186" s="83"/>
      <c r="N186" s="83"/>
      <c r="O186" s="83"/>
      <c r="P186" s="83"/>
      <c r="Q186" s="83"/>
    </row>
    <row r="187" spans="1:17" ht="15" customHeight="1">
      <c r="A187" s="64"/>
      <c r="B187" s="67"/>
      <c r="C187" s="70"/>
      <c r="D187" s="32">
        <v>2019</v>
      </c>
      <c r="E187" s="35">
        <f t="shared" si="22"/>
        <v>1.13827</v>
      </c>
      <c r="F187" s="35">
        <v>0</v>
      </c>
      <c r="G187" s="35">
        <v>0.09107</v>
      </c>
      <c r="H187" s="35">
        <v>1.0472</v>
      </c>
      <c r="I187" s="35">
        <v>0</v>
      </c>
      <c r="J187" s="83">
        <v>26.1</v>
      </c>
      <c r="K187" s="83"/>
      <c r="L187" s="83"/>
      <c r="M187" s="83"/>
      <c r="N187" s="83"/>
      <c r="O187" s="83"/>
      <c r="P187" s="83"/>
      <c r="Q187" s="83"/>
    </row>
    <row r="188" spans="1:17" ht="15">
      <c r="A188" s="64"/>
      <c r="B188" s="67"/>
      <c r="C188" s="70"/>
      <c r="D188" s="32">
        <v>2020</v>
      </c>
      <c r="E188" s="35">
        <f t="shared" si="22"/>
        <v>0</v>
      </c>
      <c r="F188" s="35">
        <v>0</v>
      </c>
      <c r="G188" s="35">
        <v>0</v>
      </c>
      <c r="H188" s="35">
        <v>0</v>
      </c>
      <c r="I188" s="35">
        <v>0</v>
      </c>
      <c r="J188" s="79" t="s">
        <v>145</v>
      </c>
      <c r="K188" s="79"/>
      <c r="L188" s="79"/>
      <c r="M188" s="79"/>
      <c r="N188" s="79"/>
      <c r="O188" s="79"/>
      <c r="P188" s="79"/>
      <c r="Q188" s="79"/>
    </row>
    <row r="189" spans="1:17" ht="64.5" customHeight="1">
      <c r="A189" s="65"/>
      <c r="B189" s="68"/>
      <c r="C189" s="71"/>
      <c r="D189" s="32">
        <v>2021</v>
      </c>
      <c r="E189" s="35">
        <f t="shared" si="22"/>
        <v>0</v>
      </c>
      <c r="F189" s="35">
        <f>F188</f>
        <v>0</v>
      </c>
      <c r="G189" s="35">
        <f>G188</f>
        <v>0</v>
      </c>
      <c r="H189" s="35">
        <f>H188</f>
        <v>0</v>
      </c>
      <c r="I189" s="35">
        <f>I188</f>
        <v>0</v>
      </c>
      <c r="J189" s="79" t="s">
        <v>145</v>
      </c>
      <c r="K189" s="79"/>
      <c r="L189" s="79"/>
      <c r="M189" s="79"/>
      <c r="N189" s="79"/>
      <c r="O189" s="79"/>
      <c r="P189" s="79"/>
      <c r="Q189" s="79"/>
    </row>
    <row r="190" spans="1:17" ht="15">
      <c r="A190" s="63" t="s">
        <v>250</v>
      </c>
      <c r="B190" s="66" t="s">
        <v>252</v>
      </c>
      <c r="C190" s="69" t="s">
        <v>232</v>
      </c>
      <c r="D190" s="42" t="s">
        <v>19</v>
      </c>
      <c r="E190" s="35">
        <f>E191+E192+E193+E194+E195+E196+E197</f>
        <v>7</v>
      </c>
      <c r="F190" s="35">
        <f>F191+F192+F193+F194+F195+F196+F197</f>
        <v>0</v>
      </c>
      <c r="G190" s="35">
        <f>G191+G192+G193+G194+G195+G196+G197</f>
        <v>7</v>
      </c>
      <c r="H190" s="35">
        <f>H191+H192+H193+H194+H195+H196+H197</f>
        <v>0</v>
      </c>
      <c r="I190" s="35">
        <f>I191+I192+I193+I194+I195+I196+I197</f>
        <v>0</v>
      </c>
      <c r="J190" s="80" t="s">
        <v>251</v>
      </c>
      <c r="K190" s="81"/>
      <c r="L190" s="81"/>
      <c r="M190" s="81"/>
      <c r="N190" s="81"/>
      <c r="O190" s="81"/>
      <c r="P190" s="81"/>
      <c r="Q190" s="82"/>
    </row>
    <row r="191" spans="1:17" ht="15">
      <c r="A191" s="64"/>
      <c r="B191" s="67"/>
      <c r="C191" s="70"/>
      <c r="D191" s="32">
        <v>2015</v>
      </c>
      <c r="E191" s="35">
        <f>F191+G191+H191+I191</f>
        <v>0</v>
      </c>
      <c r="F191" s="35">
        <v>0</v>
      </c>
      <c r="G191" s="35">
        <v>0</v>
      </c>
      <c r="H191" s="35">
        <v>0</v>
      </c>
      <c r="I191" s="35">
        <v>0</v>
      </c>
      <c r="J191" s="79" t="s">
        <v>145</v>
      </c>
      <c r="K191" s="79"/>
      <c r="L191" s="79"/>
      <c r="M191" s="79"/>
      <c r="N191" s="79"/>
      <c r="O191" s="79"/>
      <c r="P191" s="79"/>
      <c r="Q191" s="79"/>
    </row>
    <row r="192" spans="1:17" ht="15">
      <c r="A192" s="64"/>
      <c r="B192" s="67"/>
      <c r="C192" s="70"/>
      <c r="D192" s="32">
        <v>2016</v>
      </c>
      <c r="E192" s="35">
        <f aca="true" t="shared" si="23" ref="E192:E197">F192+G192+H192+I192</f>
        <v>0</v>
      </c>
      <c r="F192" s="35">
        <v>0</v>
      </c>
      <c r="G192" s="35">
        <v>0</v>
      </c>
      <c r="H192" s="35">
        <v>0</v>
      </c>
      <c r="I192" s="35">
        <v>0</v>
      </c>
      <c r="J192" s="79" t="s">
        <v>145</v>
      </c>
      <c r="K192" s="79"/>
      <c r="L192" s="79"/>
      <c r="M192" s="79"/>
      <c r="N192" s="79"/>
      <c r="O192" s="79"/>
      <c r="P192" s="79"/>
      <c r="Q192" s="79"/>
    </row>
    <row r="193" spans="1:17" ht="15">
      <c r="A193" s="64"/>
      <c r="B193" s="67"/>
      <c r="C193" s="70"/>
      <c r="D193" s="32">
        <v>2017</v>
      </c>
      <c r="E193" s="35">
        <f t="shared" si="23"/>
        <v>0</v>
      </c>
      <c r="F193" s="35">
        <v>0</v>
      </c>
      <c r="G193" s="35">
        <v>0</v>
      </c>
      <c r="H193" s="35">
        <v>0</v>
      </c>
      <c r="I193" s="35">
        <v>0</v>
      </c>
      <c r="J193" s="79" t="s">
        <v>145</v>
      </c>
      <c r="K193" s="79"/>
      <c r="L193" s="79"/>
      <c r="M193" s="79"/>
      <c r="N193" s="79"/>
      <c r="O193" s="79"/>
      <c r="P193" s="79"/>
      <c r="Q193" s="79"/>
    </row>
    <row r="194" spans="1:17" ht="15">
      <c r="A194" s="64"/>
      <c r="B194" s="67"/>
      <c r="C194" s="70"/>
      <c r="D194" s="32">
        <v>2018</v>
      </c>
      <c r="E194" s="35">
        <f t="shared" si="23"/>
        <v>2</v>
      </c>
      <c r="F194" s="35">
        <v>0</v>
      </c>
      <c r="G194" s="35">
        <v>2</v>
      </c>
      <c r="H194" s="35">
        <v>0</v>
      </c>
      <c r="I194" s="35">
        <v>0</v>
      </c>
      <c r="J194" s="75">
        <v>100</v>
      </c>
      <c r="K194" s="76"/>
      <c r="L194" s="76"/>
      <c r="M194" s="76"/>
      <c r="N194" s="76"/>
      <c r="O194" s="76"/>
      <c r="P194" s="76"/>
      <c r="Q194" s="77"/>
    </row>
    <row r="195" spans="1:17" ht="15">
      <c r="A195" s="64"/>
      <c r="B195" s="67"/>
      <c r="C195" s="70"/>
      <c r="D195" s="32">
        <v>2019</v>
      </c>
      <c r="E195" s="35">
        <f t="shared" si="23"/>
        <v>5</v>
      </c>
      <c r="F195" s="35">
        <v>0</v>
      </c>
      <c r="G195" s="35">
        <v>5</v>
      </c>
      <c r="H195" s="35">
        <v>0</v>
      </c>
      <c r="I195" s="35">
        <v>0</v>
      </c>
      <c r="J195" s="62">
        <v>100</v>
      </c>
      <c r="K195" s="62"/>
      <c r="L195" s="62"/>
      <c r="M195" s="62"/>
      <c r="N195" s="62"/>
      <c r="O195" s="62"/>
      <c r="P195" s="62"/>
      <c r="Q195" s="62"/>
    </row>
    <row r="196" spans="1:17" ht="15">
      <c r="A196" s="64"/>
      <c r="B196" s="67"/>
      <c r="C196" s="70"/>
      <c r="D196" s="32">
        <v>2020</v>
      </c>
      <c r="E196" s="35">
        <f t="shared" si="23"/>
        <v>0</v>
      </c>
      <c r="F196" s="35">
        <v>0</v>
      </c>
      <c r="G196" s="35">
        <v>0</v>
      </c>
      <c r="H196" s="35">
        <v>0</v>
      </c>
      <c r="I196" s="35">
        <v>0</v>
      </c>
      <c r="J196" s="79" t="s">
        <v>145</v>
      </c>
      <c r="K196" s="79"/>
      <c r="L196" s="79"/>
      <c r="M196" s="79"/>
      <c r="N196" s="79"/>
      <c r="O196" s="79"/>
      <c r="P196" s="79"/>
      <c r="Q196" s="79"/>
    </row>
    <row r="197" spans="1:17" ht="76.5" customHeight="1">
      <c r="A197" s="65"/>
      <c r="B197" s="68"/>
      <c r="C197" s="71"/>
      <c r="D197" s="32">
        <v>2021</v>
      </c>
      <c r="E197" s="35">
        <f t="shared" si="23"/>
        <v>0</v>
      </c>
      <c r="F197" s="35">
        <v>0</v>
      </c>
      <c r="G197" s="35">
        <v>0</v>
      </c>
      <c r="H197" s="35">
        <v>0</v>
      </c>
      <c r="I197" s="35">
        <v>0</v>
      </c>
      <c r="J197" s="79" t="s">
        <v>145</v>
      </c>
      <c r="K197" s="79"/>
      <c r="L197" s="79"/>
      <c r="M197" s="79"/>
      <c r="N197" s="79"/>
      <c r="O197" s="79"/>
      <c r="P197" s="79"/>
      <c r="Q197" s="79"/>
    </row>
    <row r="198" spans="1:17" ht="55.5" customHeight="1">
      <c r="A198" s="63" t="s">
        <v>253</v>
      </c>
      <c r="B198" s="66" t="s">
        <v>254</v>
      </c>
      <c r="C198" s="69" t="s">
        <v>232</v>
      </c>
      <c r="D198" s="42" t="s">
        <v>19</v>
      </c>
      <c r="E198" s="35">
        <f>E199+E200+E201+E202+E203+E204+E205</f>
        <v>29.8938</v>
      </c>
      <c r="F198" s="35">
        <f>F199+F200+F201+F202+F203+F204+F205</f>
        <v>0</v>
      </c>
      <c r="G198" s="35">
        <f>G199+G200+G201+G202+G203+G204+G205</f>
        <v>29.8938</v>
      </c>
      <c r="H198" s="35">
        <f>H199+H200+H201+H202+H203+H204+H205</f>
        <v>0</v>
      </c>
      <c r="I198" s="35">
        <f>I199+I200+I201+I202+I203+I204+I205</f>
        <v>0</v>
      </c>
      <c r="J198" s="79" t="s">
        <v>246</v>
      </c>
      <c r="K198" s="79"/>
      <c r="L198" s="79"/>
      <c r="M198" s="79"/>
      <c r="N198" s="79"/>
      <c r="O198" s="79"/>
      <c r="P198" s="79"/>
      <c r="Q198" s="79"/>
    </row>
    <row r="199" spans="1:17" ht="15">
      <c r="A199" s="64"/>
      <c r="B199" s="67"/>
      <c r="C199" s="70"/>
      <c r="D199" s="32">
        <v>2015</v>
      </c>
      <c r="E199" s="35">
        <f aca="true" t="shared" si="24" ref="E199:E205">F199+G199+H199+I199</f>
        <v>0</v>
      </c>
      <c r="F199" s="35">
        <v>0</v>
      </c>
      <c r="G199" s="35">
        <v>0</v>
      </c>
      <c r="H199" s="35">
        <v>0</v>
      </c>
      <c r="I199" s="35">
        <v>0</v>
      </c>
      <c r="J199" s="62" t="s">
        <v>145</v>
      </c>
      <c r="K199" s="62"/>
      <c r="L199" s="62"/>
      <c r="M199" s="62"/>
      <c r="N199" s="62"/>
      <c r="O199" s="62"/>
      <c r="P199" s="62"/>
      <c r="Q199" s="62"/>
    </row>
    <row r="200" spans="1:17" ht="15">
      <c r="A200" s="64"/>
      <c r="B200" s="67"/>
      <c r="C200" s="70"/>
      <c r="D200" s="32">
        <v>2016</v>
      </c>
      <c r="E200" s="35">
        <f t="shared" si="24"/>
        <v>0</v>
      </c>
      <c r="F200" s="35">
        <v>0</v>
      </c>
      <c r="G200" s="35">
        <v>0</v>
      </c>
      <c r="H200" s="35">
        <v>0</v>
      </c>
      <c r="I200" s="35">
        <v>0</v>
      </c>
      <c r="J200" s="62" t="s">
        <v>145</v>
      </c>
      <c r="K200" s="62"/>
      <c r="L200" s="62"/>
      <c r="M200" s="62"/>
      <c r="N200" s="62"/>
      <c r="O200" s="62"/>
      <c r="P200" s="62"/>
      <c r="Q200" s="62"/>
    </row>
    <row r="201" spans="1:17" ht="15">
      <c r="A201" s="64"/>
      <c r="B201" s="67"/>
      <c r="C201" s="70"/>
      <c r="D201" s="32">
        <v>2017</v>
      </c>
      <c r="E201" s="35">
        <f t="shared" si="24"/>
        <v>0</v>
      </c>
      <c r="F201" s="35">
        <v>0</v>
      </c>
      <c r="G201" s="35">
        <v>0</v>
      </c>
      <c r="H201" s="35">
        <v>0</v>
      </c>
      <c r="I201" s="35">
        <v>0</v>
      </c>
      <c r="J201" s="62" t="s">
        <v>145</v>
      </c>
      <c r="K201" s="62"/>
      <c r="L201" s="62"/>
      <c r="M201" s="62"/>
      <c r="N201" s="62"/>
      <c r="O201" s="62"/>
      <c r="P201" s="62"/>
      <c r="Q201" s="62"/>
    </row>
    <row r="202" spans="1:17" ht="15">
      <c r="A202" s="64"/>
      <c r="B202" s="67"/>
      <c r="C202" s="70"/>
      <c r="D202" s="32">
        <v>2018</v>
      </c>
      <c r="E202" s="35">
        <f t="shared" si="24"/>
        <v>0</v>
      </c>
      <c r="F202" s="35">
        <v>0</v>
      </c>
      <c r="G202" s="35">
        <v>0</v>
      </c>
      <c r="H202" s="35">
        <v>0</v>
      </c>
      <c r="I202" s="35">
        <v>0</v>
      </c>
      <c r="J202" s="62" t="s">
        <v>145</v>
      </c>
      <c r="K202" s="62"/>
      <c r="L202" s="62"/>
      <c r="M202" s="62"/>
      <c r="N202" s="62"/>
      <c r="O202" s="62"/>
      <c r="P202" s="62"/>
      <c r="Q202" s="62"/>
    </row>
    <row r="203" spans="1:17" ht="15">
      <c r="A203" s="64"/>
      <c r="B203" s="67"/>
      <c r="C203" s="70"/>
      <c r="D203" s="32">
        <v>2019</v>
      </c>
      <c r="E203" s="35">
        <f t="shared" si="24"/>
        <v>8.8406</v>
      </c>
      <c r="F203" s="35">
        <v>0</v>
      </c>
      <c r="G203" s="35">
        <f>10.29875+0.22785-0.9114-0.7746</f>
        <v>8.8406</v>
      </c>
      <c r="H203" s="35">
        <v>0</v>
      </c>
      <c r="I203" s="35">
        <v>0</v>
      </c>
      <c r="J203" s="62">
        <v>100</v>
      </c>
      <c r="K203" s="62"/>
      <c r="L203" s="62"/>
      <c r="M203" s="62"/>
      <c r="N203" s="62"/>
      <c r="O203" s="62"/>
      <c r="P203" s="62"/>
      <c r="Q203" s="62"/>
    </row>
    <row r="204" spans="1:17" ht="15">
      <c r="A204" s="64"/>
      <c r="B204" s="67"/>
      <c r="C204" s="70"/>
      <c r="D204" s="32">
        <v>2020</v>
      </c>
      <c r="E204" s="35">
        <f t="shared" si="24"/>
        <v>10.5266</v>
      </c>
      <c r="F204" s="35">
        <v>0</v>
      </c>
      <c r="G204" s="35">
        <v>10.5266</v>
      </c>
      <c r="H204" s="35">
        <v>0</v>
      </c>
      <c r="I204" s="35">
        <v>0</v>
      </c>
      <c r="J204" s="62">
        <v>100</v>
      </c>
      <c r="K204" s="62"/>
      <c r="L204" s="62"/>
      <c r="M204" s="62"/>
      <c r="N204" s="62"/>
      <c r="O204" s="62"/>
      <c r="P204" s="62"/>
      <c r="Q204" s="62"/>
    </row>
    <row r="205" spans="1:17" ht="35.25" customHeight="1">
      <c r="A205" s="65"/>
      <c r="B205" s="68"/>
      <c r="C205" s="71"/>
      <c r="D205" s="32">
        <v>2021</v>
      </c>
      <c r="E205" s="35">
        <f t="shared" si="24"/>
        <v>10.5266</v>
      </c>
      <c r="F205" s="35">
        <f>F204</f>
        <v>0</v>
      </c>
      <c r="G205" s="35">
        <v>10.5266</v>
      </c>
      <c r="H205" s="35">
        <f>H204</f>
        <v>0</v>
      </c>
      <c r="I205" s="35">
        <f>I204</f>
        <v>0</v>
      </c>
      <c r="J205" s="75">
        <f>J204</f>
        <v>100</v>
      </c>
      <c r="K205" s="76"/>
      <c r="L205" s="76"/>
      <c r="M205" s="76"/>
      <c r="N205" s="76"/>
      <c r="O205" s="76"/>
      <c r="P205" s="76"/>
      <c r="Q205" s="77"/>
    </row>
    <row r="206" spans="1:17" ht="115.5" customHeight="1">
      <c r="A206" s="63" t="s">
        <v>256</v>
      </c>
      <c r="B206" s="66" t="s">
        <v>257</v>
      </c>
      <c r="C206" s="69" t="s">
        <v>232</v>
      </c>
      <c r="D206" s="42" t="s">
        <v>19</v>
      </c>
      <c r="E206" s="52">
        <f>E207+E208+E209+E210+E211+E212+E213</f>
        <v>74.56250666</v>
      </c>
      <c r="F206" s="52">
        <f>F207+F208+F209+F210+F211+F212+F213</f>
        <v>26.096877329999998</v>
      </c>
      <c r="G206" s="35">
        <f>G207+G208+G209+G210+G211+G212+G213</f>
        <v>48.46562933</v>
      </c>
      <c r="H206" s="35">
        <f>H207+H208+H209+H210+H211+H212+H213</f>
        <v>0</v>
      </c>
      <c r="I206" s="35">
        <f>I207+I208+I209+I210+I211+I212+I213</f>
        <v>0</v>
      </c>
      <c r="J206" s="78" t="s">
        <v>258</v>
      </c>
      <c r="K206" s="78"/>
      <c r="L206" s="61" t="s">
        <v>259</v>
      </c>
      <c r="M206" s="78" t="s">
        <v>262</v>
      </c>
      <c r="N206" s="78"/>
      <c r="O206" s="78" t="s">
        <v>263</v>
      </c>
      <c r="P206" s="78"/>
      <c r="Q206" s="78"/>
    </row>
    <row r="207" spans="1:17" ht="15">
      <c r="A207" s="64"/>
      <c r="B207" s="67"/>
      <c r="C207" s="70"/>
      <c r="D207" s="32">
        <v>2015</v>
      </c>
      <c r="E207" s="35">
        <f aca="true" t="shared" si="25" ref="E207:E213">F207+G207+H207+I207</f>
        <v>0</v>
      </c>
      <c r="F207" s="35">
        <v>0</v>
      </c>
      <c r="G207" s="35">
        <v>0</v>
      </c>
      <c r="H207" s="35">
        <v>0</v>
      </c>
      <c r="I207" s="35">
        <v>0</v>
      </c>
      <c r="J207" s="62" t="s">
        <v>145</v>
      </c>
      <c r="K207" s="62"/>
      <c r="L207" s="60" t="s">
        <v>145</v>
      </c>
      <c r="M207" s="62" t="s">
        <v>145</v>
      </c>
      <c r="N207" s="62"/>
      <c r="O207" s="62" t="s">
        <v>145</v>
      </c>
      <c r="P207" s="62"/>
      <c r="Q207" s="62"/>
    </row>
    <row r="208" spans="1:17" ht="15">
      <c r="A208" s="64"/>
      <c r="B208" s="67"/>
      <c r="C208" s="70"/>
      <c r="D208" s="32">
        <v>2016</v>
      </c>
      <c r="E208" s="35">
        <f t="shared" si="25"/>
        <v>0</v>
      </c>
      <c r="F208" s="35">
        <v>0</v>
      </c>
      <c r="G208" s="35">
        <v>0</v>
      </c>
      <c r="H208" s="35">
        <v>0</v>
      </c>
      <c r="I208" s="35">
        <v>0</v>
      </c>
      <c r="J208" s="62" t="s">
        <v>145</v>
      </c>
      <c r="K208" s="62"/>
      <c r="L208" s="60" t="s">
        <v>145</v>
      </c>
      <c r="M208" s="62" t="s">
        <v>145</v>
      </c>
      <c r="N208" s="62"/>
      <c r="O208" s="62" t="s">
        <v>145</v>
      </c>
      <c r="P208" s="62"/>
      <c r="Q208" s="62"/>
    </row>
    <row r="209" spans="1:17" ht="15">
      <c r="A209" s="64"/>
      <c r="B209" s="67"/>
      <c r="C209" s="70"/>
      <c r="D209" s="32">
        <v>2017</v>
      </c>
      <c r="E209" s="35">
        <f t="shared" si="25"/>
        <v>0</v>
      </c>
      <c r="F209" s="35">
        <v>0</v>
      </c>
      <c r="G209" s="35">
        <v>0</v>
      </c>
      <c r="H209" s="35">
        <v>0</v>
      </c>
      <c r="I209" s="35">
        <v>0</v>
      </c>
      <c r="J209" s="62" t="s">
        <v>145</v>
      </c>
      <c r="K209" s="62"/>
      <c r="L209" s="60" t="s">
        <v>145</v>
      </c>
      <c r="M209" s="62" t="s">
        <v>145</v>
      </c>
      <c r="N209" s="62"/>
      <c r="O209" s="62" t="s">
        <v>145</v>
      </c>
      <c r="P209" s="62"/>
      <c r="Q209" s="62"/>
    </row>
    <row r="210" spans="1:17" ht="15">
      <c r="A210" s="64"/>
      <c r="B210" s="67"/>
      <c r="C210" s="70"/>
      <c r="D210" s="32">
        <v>2018</v>
      </c>
      <c r="E210" s="35">
        <f t="shared" si="25"/>
        <v>0</v>
      </c>
      <c r="F210" s="35">
        <v>0</v>
      </c>
      <c r="G210" s="35">
        <v>0</v>
      </c>
      <c r="H210" s="35">
        <v>0</v>
      </c>
      <c r="I210" s="35">
        <v>0</v>
      </c>
      <c r="J210" s="62" t="s">
        <v>145</v>
      </c>
      <c r="K210" s="62"/>
      <c r="L210" s="60" t="s">
        <v>145</v>
      </c>
      <c r="M210" s="62" t="s">
        <v>145</v>
      </c>
      <c r="N210" s="62"/>
      <c r="O210" s="62" t="s">
        <v>145</v>
      </c>
      <c r="P210" s="62"/>
      <c r="Q210" s="62"/>
    </row>
    <row r="211" spans="1:17" ht="15">
      <c r="A211" s="64"/>
      <c r="B211" s="67"/>
      <c r="C211" s="70"/>
      <c r="D211" s="32">
        <v>2019</v>
      </c>
      <c r="E211" s="52">
        <f t="shared" si="25"/>
        <v>74.56250666</v>
      </c>
      <c r="F211" s="52">
        <f>21+4.97437733+0.1225</f>
        <v>26.096877329999998</v>
      </c>
      <c r="G211" s="52">
        <f>39+9.46562933</f>
        <v>48.46562933</v>
      </c>
      <c r="H211" s="35">
        <v>0</v>
      </c>
      <c r="I211" s="35">
        <v>0</v>
      </c>
      <c r="J211" s="62">
        <v>20</v>
      </c>
      <c r="K211" s="62"/>
      <c r="L211" s="60">
        <v>187</v>
      </c>
      <c r="M211" s="62">
        <v>44</v>
      </c>
      <c r="N211" s="62"/>
      <c r="O211" s="62">
        <v>2</v>
      </c>
      <c r="P211" s="62"/>
      <c r="Q211" s="62"/>
    </row>
    <row r="212" spans="1:17" ht="15">
      <c r="A212" s="64"/>
      <c r="B212" s="67"/>
      <c r="C212" s="70"/>
      <c r="D212" s="32">
        <v>2020</v>
      </c>
      <c r="E212" s="35">
        <f t="shared" si="25"/>
        <v>0</v>
      </c>
      <c r="F212" s="35">
        <v>0</v>
      </c>
      <c r="G212" s="35">
        <v>0</v>
      </c>
      <c r="H212" s="35">
        <v>0</v>
      </c>
      <c r="I212" s="35">
        <v>0</v>
      </c>
      <c r="J212" s="62" t="s">
        <v>145</v>
      </c>
      <c r="K212" s="62"/>
      <c r="L212" s="60" t="s">
        <v>145</v>
      </c>
      <c r="M212" s="62" t="s">
        <v>145</v>
      </c>
      <c r="N212" s="62"/>
      <c r="O212" s="62" t="s">
        <v>145</v>
      </c>
      <c r="P212" s="62"/>
      <c r="Q212" s="62"/>
    </row>
    <row r="213" spans="1:17" ht="41.25" customHeight="1">
      <c r="A213" s="65"/>
      <c r="B213" s="68"/>
      <c r="C213" s="71"/>
      <c r="D213" s="32">
        <v>2021</v>
      </c>
      <c r="E213" s="35">
        <f t="shared" si="25"/>
        <v>0</v>
      </c>
      <c r="F213" s="35">
        <f>F212</f>
        <v>0</v>
      </c>
      <c r="G213" s="35">
        <v>0</v>
      </c>
      <c r="H213" s="35">
        <f>H212</f>
        <v>0</v>
      </c>
      <c r="I213" s="35">
        <f>I212</f>
        <v>0</v>
      </c>
      <c r="J213" s="62" t="s">
        <v>145</v>
      </c>
      <c r="K213" s="62"/>
      <c r="L213" s="60" t="s">
        <v>145</v>
      </c>
      <c r="M213" s="62" t="s">
        <v>145</v>
      </c>
      <c r="N213" s="62"/>
      <c r="O213" s="62" t="s">
        <v>145</v>
      </c>
      <c r="P213" s="62"/>
      <c r="Q213" s="62"/>
    </row>
    <row r="214" spans="1:17" ht="40.5" customHeight="1">
      <c r="A214" s="63" t="s">
        <v>260</v>
      </c>
      <c r="B214" s="66" t="s">
        <v>261</v>
      </c>
      <c r="C214" s="69" t="s">
        <v>232</v>
      </c>
      <c r="D214" s="42" t="s">
        <v>19</v>
      </c>
      <c r="E214" s="35">
        <f>E215+E216+E217+E218+E219+E220+E221</f>
        <v>23.52222</v>
      </c>
      <c r="F214" s="35">
        <f>F215+F216+F217+F218+F219+F220+F221</f>
        <v>21.89022</v>
      </c>
      <c r="G214" s="35">
        <f>G215+G216+G217+G218+G219+G220+G221</f>
        <v>1.632</v>
      </c>
      <c r="H214" s="35">
        <f>H215+H216+H217+H218+H219+H220+H221</f>
        <v>0</v>
      </c>
      <c r="I214" s="35">
        <f>I215+I216+I217+I218+I219+I220+I221</f>
        <v>0</v>
      </c>
      <c r="J214" s="72" t="s">
        <v>208</v>
      </c>
      <c r="K214" s="73"/>
      <c r="L214" s="73"/>
      <c r="M214" s="73"/>
      <c r="N214" s="73"/>
      <c r="O214" s="73"/>
      <c r="P214" s="73"/>
      <c r="Q214" s="74"/>
    </row>
    <row r="215" spans="1:17" ht="15">
      <c r="A215" s="64"/>
      <c r="B215" s="67"/>
      <c r="C215" s="70"/>
      <c r="D215" s="32">
        <v>2015</v>
      </c>
      <c r="E215" s="35">
        <f aca="true" t="shared" si="26" ref="E215:E221">F215+G215+H215+I215</f>
        <v>0</v>
      </c>
      <c r="F215" s="35">
        <v>0</v>
      </c>
      <c r="G215" s="35">
        <v>0</v>
      </c>
      <c r="H215" s="35">
        <v>0</v>
      </c>
      <c r="I215" s="35">
        <v>0</v>
      </c>
      <c r="J215" s="75" t="s">
        <v>145</v>
      </c>
      <c r="K215" s="76"/>
      <c r="L215" s="76"/>
      <c r="M215" s="76"/>
      <c r="N215" s="76"/>
      <c r="O215" s="76"/>
      <c r="P215" s="76"/>
      <c r="Q215" s="77"/>
    </row>
    <row r="216" spans="1:17" ht="15">
      <c r="A216" s="64"/>
      <c r="B216" s="67"/>
      <c r="C216" s="70"/>
      <c r="D216" s="32">
        <v>2016</v>
      </c>
      <c r="E216" s="35">
        <f t="shared" si="26"/>
        <v>0</v>
      </c>
      <c r="F216" s="35">
        <v>0</v>
      </c>
      <c r="G216" s="35">
        <v>0</v>
      </c>
      <c r="H216" s="35">
        <v>0</v>
      </c>
      <c r="I216" s="35">
        <v>0</v>
      </c>
      <c r="J216" s="75" t="s">
        <v>145</v>
      </c>
      <c r="K216" s="76"/>
      <c r="L216" s="76"/>
      <c r="M216" s="76"/>
      <c r="N216" s="76"/>
      <c r="O216" s="76"/>
      <c r="P216" s="76"/>
      <c r="Q216" s="77"/>
    </row>
    <row r="217" spans="1:17" ht="15">
      <c r="A217" s="64"/>
      <c r="B217" s="67"/>
      <c r="C217" s="70"/>
      <c r="D217" s="32">
        <v>2017</v>
      </c>
      <c r="E217" s="35">
        <f t="shared" si="26"/>
        <v>0</v>
      </c>
      <c r="F217" s="35">
        <v>0</v>
      </c>
      <c r="G217" s="35">
        <v>0</v>
      </c>
      <c r="H217" s="35">
        <v>0</v>
      </c>
      <c r="I217" s="35">
        <v>0</v>
      </c>
      <c r="J217" s="75" t="s">
        <v>145</v>
      </c>
      <c r="K217" s="76"/>
      <c r="L217" s="76"/>
      <c r="M217" s="76"/>
      <c r="N217" s="76"/>
      <c r="O217" s="76"/>
      <c r="P217" s="76"/>
      <c r="Q217" s="77"/>
    </row>
    <row r="218" spans="1:17" ht="15">
      <c r="A218" s="64"/>
      <c r="B218" s="67"/>
      <c r="C218" s="70"/>
      <c r="D218" s="32">
        <v>2018</v>
      </c>
      <c r="E218" s="35">
        <f t="shared" si="26"/>
        <v>0</v>
      </c>
      <c r="F218" s="35">
        <v>0</v>
      </c>
      <c r="G218" s="35">
        <v>0</v>
      </c>
      <c r="H218" s="35">
        <v>0</v>
      </c>
      <c r="I218" s="35">
        <v>0</v>
      </c>
      <c r="J218" s="75" t="s">
        <v>145</v>
      </c>
      <c r="K218" s="76"/>
      <c r="L218" s="76"/>
      <c r="M218" s="76"/>
      <c r="N218" s="76"/>
      <c r="O218" s="76"/>
      <c r="P218" s="76"/>
      <c r="Q218" s="77"/>
    </row>
    <row r="219" spans="1:17" ht="15">
      <c r="A219" s="64"/>
      <c r="B219" s="67"/>
      <c r="C219" s="70"/>
      <c r="D219" s="32">
        <v>2019</v>
      </c>
      <c r="E219" s="35">
        <f t="shared" si="26"/>
        <v>23.52222</v>
      </c>
      <c r="F219" s="35">
        <f>24.16677-0.8883-1.5993+0.408-0.19695</f>
        <v>21.89022</v>
      </c>
      <c r="G219" s="35">
        <v>1.632</v>
      </c>
      <c r="H219" s="35">
        <v>0</v>
      </c>
      <c r="I219" s="35">
        <v>0</v>
      </c>
      <c r="J219" s="75" t="s">
        <v>203</v>
      </c>
      <c r="K219" s="76"/>
      <c r="L219" s="76"/>
      <c r="M219" s="76"/>
      <c r="N219" s="76"/>
      <c r="O219" s="76"/>
      <c r="P219" s="76"/>
      <c r="Q219" s="77"/>
    </row>
    <row r="220" spans="1:17" ht="15">
      <c r="A220" s="64"/>
      <c r="B220" s="67"/>
      <c r="C220" s="70"/>
      <c r="D220" s="32">
        <v>2020</v>
      </c>
      <c r="E220" s="35">
        <f t="shared" si="26"/>
        <v>0</v>
      </c>
      <c r="F220" s="35">
        <v>0</v>
      </c>
      <c r="G220" s="35">
        <v>0</v>
      </c>
      <c r="H220" s="35">
        <v>0</v>
      </c>
      <c r="I220" s="35">
        <v>0</v>
      </c>
      <c r="J220" s="75" t="s">
        <v>145</v>
      </c>
      <c r="K220" s="76"/>
      <c r="L220" s="76"/>
      <c r="M220" s="76"/>
      <c r="N220" s="76"/>
      <c r="O220" s="76"/>
      <c r="P220" s="76"/>
      <c r="Q220" s="77"/>
    </row>
    <row r="221" spans="1:17" ht="41.25" customHeight="1">
      <c r="A221" s="65"/>
      <c r="B221" s="68"/>
      <c r="C221" s="71"/>
      <c r="D221" s="32">
        <v>2021</v>
      </c>
      <c r="E221" s="35">
        <f t="shared" si="26"/>
        <v>0</v>
      </c>
      <c r="F221" s="35">
        <f>F220</f>
        <v>0</v>
      </c>
      <c r="G221" s="35">
        <v>0</v>
      </c>
      <c r="H221" s="35">
        <f>H220</f>
        <v>0</v>
      </c>
      <c r="I221" s="35">
        <f>I220</f>
        <v>0</v>
      </c>
      <c r="J221" s="75" t="s">
        <v>145</v>
      </c>
      <c r="K221" s="76"/>
      <c r="L221" s="76"/>
      <c r="M221" s="76"/>
      <c r="N221" s="76"/>
      <c r="O221" s="76"/>
      <c r="P221" s="76"/>
      <c r="Q221" s="77"/>
    </row>
    <row r="222" spans="1:17" ht="15" customHeight="1">
      <c r="A222" s="91" t="s">
        <v>80</v>
      </c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</row>
    <row r="223" spans="1:17" ht="15" customHeight="1">
      <c r="A223" s="93" t="s">
        <v>242</v>
      </c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</row>
    <row r="224" spans="1:17" ht="15" customHeight="1">
      <c r="A224" s="93" t="s">
        <v>243</v>
      </c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</row>
    <row r="225" spans="1:17" ht="27.75" customHeight="1">
      <c r="A225" s="63" t="s">
        <v>183</v>
      </c>
      <c r="B225" s="94" t="s">
        <v>130</v>
      </c>
      <c r="C225" s="69" t="s">
        <v>23</v>
      </c>
      <c r="D225" s="42" t="s">
        <v>19</v>
      </c>
      <c r="E225" s="52">
        <f>E226+E227+E228+E229+E230+E231+E232</f>
        <v>250.64173351000002</v>
      </c>
      <c r="F225" s="52">
        <f>F226+F227+F228+F229+F230+F231+F232</f>
        <v>250.64173351000002</v>
      </c>
      <c r="G225" s="35">
        <f>G226+G227+G228+G229+G230+G231+G232</f>
        <v>0</v>
      </c>
      <c r="H225" s="35">
        <f>H226+H227+H228+H229+H230+H231+H232</f>
        <v>0</v>
      </c>
      <c r="I225" s="35">
        <f>I226+I227+I228+I229+I230+I231+I232</f>
        <v>0</v>
      </c>
      <c r="J225" s="83" t="s">
        <v>194</v>
      </c>
      <c r="K225" s="83"/>
      <c r="L225" s="83"/>
      <c r="M225" s="83"/>
      <c r="N225" s="83"/>
      <c r="O225" s="83"/>
      <c r="P225" s="83"/>
      <c r="Q225" s="83"/>
    </row>
    <row r="226" spans="1:17" ht="15">
      <c r="A226" s="64"/>
      <c r="B226" s="95"/>
      <c r="C226" s="70"/>
      <c r="D226" s="32">
        <v>2015</v>
      </c>
      <c r="E226" s="35">
        <f aca="true" t="shared" si="27" ref="E226:E232">F226+G226+H226+I226</f>
        <v>36.2121</v>
      </c>
      <c r="F226" s="35">
        <v>36.2121</v>
      </c>
      <c r="G226" s="35">
        <v>0</v>
      </c>
      <c r="H226" s="35">
        <v>0</v>
      </c>
      <c r="I226" s="35">
        <v>0</v>
      </c>
      <c r="J226" s="83" t="s">
        <v>195</v>
      </c>
      <c r="K226" s="83"/>
      <c r="L226" s="83"/>
      <c r="M226" s="83"/>
      <c r="N226" s="83"/>
      <c r="O226" s="83"/>
      <c r="P226" s="83"/>
      <c r="Q226" s="83"/>
    </row>
    <row r="227" spans="1:17" ht="15">
      <c r="A227" s="64"/>
      <c r="B227" s="95"/>
      <c r="C227" s="70"/>
      <c r="D227" s="32">
        <v>2016</v>
      </c>
      <c r="E227" s="35">
        <f t="shared" si="27"/>
        <v>34.7481</v>
      </c>
      <c r="F227" s="35">
        <v>34.7481</v>
      </c>
      <c r="G227" s="35">
        <v>0</v>
      </c>
      <c r="H227" s="35">
        <v>0</v>
      </c>
      <c r="I227" s="35">
        <v>0</v>
      </c>
      <c r="J227" s="83" t="s">
        <v>195</v>
      </c>
      <c r="K227" s="83"/>
      <c r="L227" s="83"/>
      <c r="M227" s="83"/>
      <c r="N227" s="83"/>
      <c r="O227" s="83"/>
      <c r="P227" s="83"/>
      <c r="Q227" s="83"/>
    </row>
    <row r="228" spans="1:17" ht="15">
      <c r="A228" s="64"/>
      <c r="B228" s="95"/>
      <c r="C228" s="70"/>
      <c r="D228" s="32">
        <v>2017</v>
      </c>
      <c r="E228" s="35">
        <f t="shared" si="27"/>
        <v>36.587</v>
      </c>
      <c r="F228" s="35">
        <f>33.1586+3.7427-0.1248-0.1857-0.0038</f>
        <v>36.587</v>
      </c>
      <c r="G228" s="35">
        <v>0</v>
      </c>
      <c r="H228" s="35">
        <v>0</v>
      </c>
      <c r="I228" s="35">
        <v>0</v>
      </c>
      <c r="J228" s="83" t="s">
        <v>195</v>
      </c>
      <c r="K228" s="83"/>
      <c r="L228" s="83"/>
      <c r="M228" s="83"/>
      <c r="N228" s="83"/>
      <c r="O228" s="83"/>
      <c r="P228" s="83"/>
      <c r="Q228" s="83"/>
    </row>
    <row r="229" spans="1:17" ht="15">
      <c r="A229" s="64"/>
      <c r="B229" s="95"/>
      <c r="C229" s="70"/>
      <c r="D229" s="32">
        <v>2018</v>
      </c>
      <c r="E229" s="52">
        <f t="shared" si="27"/>
        <v>35.162333509999996</v>
      </c>
      <c r="F229" s="52">
        <f>35.2572-0.1171+0.25643351-0.0582-0.0365-0.115-0.0245</f>
        <v>35.162333509999996</v>
      </c>
      <c r="G229" s="35">
        <v>0</v>
      </c>
      <c r="H229" s="35">
        <v>0</v>
      </c>
      <c r="I229" s="35">
        <v>0</v>
      </c>
      <c r="J229" s="83" t="s">
        <v>195</v>
      </c>
      <c r="K229" s="83"/>
      <c r="L229" s="83"/>
      <c r="M229" s="83"/>
      <c r="N229" s="83"/>
      <c r="O229" s="83"/>
      <c r="P229" s="83"/>
      <c r="Q229" s="83"/>
    </row>
    <row r="230" spans="1:17" ht="15">
      <c r="A230" s="64"/>
      <c r="B230" s="95"/>
      <c r="C230" s="70"/>
      <c r="D230" s="32">
        <v>2019</v>
      </c>
      <c r="E230" s="35">
        <f t="shared" si="27"/>
        <v>34.75070000000001</v>
      </c>
      <c r="F230" s="35">
        <f>34.6392+0.25+0.0337-0.0446-0.0905-0.0273-0.0098</f>
        <v>34.75070000000001</v>
      </c>
      <c r="G230" s="35">
        <v>0</v>
      </c>
      <c r="H230" s="35">
        <v>0</v>
      </c>
      <c r="I230" s="35">
        <v>0</v>
      </c>
      <c r="J230" s="83" t="s">
        <v>195</v>
      </c>
      <c r="K230" s="83"/>
      <c r="L230" s="83"/>
      <c r="M230" s="83"/>
      <c r="N230" s="83"/>
      <c r="O230" s="83"/>
      <c r="P230" s="83"/>
      <c r="Q230" s="83"/>
    </row>
    <row r="231" spans="1:17" ht="15">
      <c r="A231" s="64"/>
      <c r="B231" s="95"/>
      <c r="C231" s="70"/>
      <c r="D231" s="32">
        <v>2020</v>
      </c>
      <c r="E231" s="35">
        <f t="shared" si="27"/>
        <v>35.9581</v>
      </c>
      <c r="F231" s="35">
        <v>35.9581</v>
      </c>
      <c r="G231" s="35">
        <v>0</v>
      </c>
      <c r="H231" s="35">
        <v>0</v>
      </c>
      <c r="I231" s="35">
        <v>0</v>
      </c>
      <c r="J231" s="83" t="s">
        <v>195</v>
      </c>
      <c r="K231" s="83"/>
      <c r="L231" s="83"/>
      <c r="M231" s="83"/>
      <c r="N231" s="83"/>
      <c r="O231" s="83"/>
      <c r="P231" s="83"/>
      <c r="Q231" s="83"/>
    </row>
    <row r="232" spans="1:17" ht="15">
      <c r="A232" s="65"/>
      <c r="B232" s="96"/>
      <c r="C232" s="71"/>
      <c r="D232" s="32">
        <v>2021</v>
      </c>
      <c r="E232" s="35">
        <f t="shared" si="27"/>
        <v>37.2234</v>
      </c>
      <c r="F232" s="35">
        <v>37.2234</v>
      </c>
      <c r="G232" s="35">
        <f>G231</f>
        <v>0</v>
      </c>
      <c r="H232" s="35">
        <f>H231</f>
        <v>0</v>
      </c>
      <c r="I232" s="35">
        <f>I231</f>
        <v>0</v>
      </c>
      <c r="J232" s="113" t="str">
        <f>J231</f>
        <v>не менее 90</v>
      </c>
      <c r="K232" s="114"/>
      <c r="L232" s="114"/>
      <c r="M232" s="114"/>
      <c r="N232" s="114"/>
      <c r="O232" s="114"/>
      <c r="P232" s="114"/>
      <c r="Q232" s="115"/>
    </row>
    <row r="233" spans="1:17" ht="25.5" customHeight="1">
      <c r="A233" s="63" t="s">
        <v>184</v>
      </c>
      <c r="B233" s="94" t="s">
        <v>122</v>
      </c>
      <c r="C233" s="69" t="s">
        <v>23</v>
      </c>
      <c r="D233" s="42" t="s">
        <v>19</v>
      </c>
      <c r="E233" s="35">
        <f>E234+E235+E236+E237+E238+E239+E240</f>
        <v>30.2369</v>
      </c>
      <c r="F233" s="35">
        <f>F234+F235+F236+F237+F238+F239+F240</f>
        <v>0</v>
      </c>
      <c r="G233" s="35">
        <f>G234+G235+G236+G237+G238+G239+G240</f>
        <v>30.2369</v>
      </c>
      <c r="H233" s="35">
        <f>H234+H235+H236+H237+H238+H239+H240</f>
        <v>0</v>
      </c>
      <c r="I233" s="35">
        <f>I234+I235+I236+I237+I238+I239+I240</f>
        <v>0</v>
      </c>
      <c r="J233" s="83" t="s">
        <v>194</v>
      </c>
      <c r="K233" s="83"/>
      <c r="L233" s="83"/>
      <c r="M233" s="83"/>
      <c r="N233" s="83"/>
      <c r="O233" s="83"/>
      <c r="P233" s="83"/>
      <c r="Q233" s="83"/>
    </row>
    <row r="234" spans="1:17" ht="15">
      <c r="A234" s="64"/>
      <c r="B234" s="95"/>
      <c r="C234" s="70"/>
      <c r="D234" s="32">
        <v>2015</v>
      </c>
      <c r="E234" s="35">
        <f aca="true" t="shared" si="28" ref="E234:E240">F234+G234+H234+I234</f>
        <v>2.3956</v>
      </c>
      <c r="F234" s="35">
        <v>0</v>
      </c>
      <c r="G234" s="35">
        <v>2.3956</v>
      </c>
      <c r="H234" s="35">
        <v>0</v>
      </c>
      <c r="I234" s="35">
        <v>0</v>
      </c>
      <c r="J234" s="83" t="s">
        <v>195</v>
      </c>
      <c r="K234" s="83"/>
      <c r="L234" s="83"/>
      <c r="M234" s="83"/>
      <c r="N234" s="83"/>
      <c r="O234" s="83"/>
      <c r="P234" s="83"/>
      <c r="Q234" s="83"/>
    </row>
    <row r="235" spans="1:17" ht="15">
      <c r="A235" s="64"/>
      <c r="B235" s="95"/>
      <c r="C235" s="70"/>
      <c r="D235" s="32">
        <v>2016</v>
      </c>
      <c r="E235" s="35">
        <f t="shared" si="28"/>
        <v>2.3863</v>
      </c>
      <c r="F235" s="35">
        <v>0</v>
      </c>
      <c r="G235" s="35">
        <v>2.3863</v>
      </c>
      <c r="H235" s="35">
        <v>0</v>
      </c>
      <c r="I235" s="35">
        <v>0</v>
      </c>
      <c r="J235" s="83" t="s">
        <v>195</v>
      </c>
      <c r="K235" s="83"/>
      <c r="L235" s="83"/>
      <c r="M235" s="83"/>
      <c r="N235" s="83"/>
      <c r="O235" s="83"/>
      <c r="P235" s="83"/>
      <c r="Q235" s="83"/>
    </row>
    <row r="236" spans="1:17" ht="15">
      <c r="A236" s="64"/>
      <c r="B236" s="95"/>
      <c r="C236" s="70"/>
      <c r="D236" s="32">
        <v>2017</v>
      </c>
      <c r="E236" s="35">
        <f t="shared" si="28"/>
        <v>4.7446</v>
      </c>
      <c r="F236" s="35">
        <v>0</v>
      </c>
      <c r="G236" s="35">
        <f>4.8314-0.0868</f>
        <v>4.7446</v>
      </c>
      <c r="H236" s="35">
        <v>0</v>
      </c>
      <c r="I236" s="35">
        <v>0</v>
      </c>
      <c r="J236" s="83" t="s">
        <v>195</v>
      </c>
      <c r="K236" s="83"/>
      <c r="L236" s="83"/>
      <c r="M236" s="83"/>
      <c r="N236" s="83"/>
      <c r="O236" s="83"/>
      <c r="P236" s="83"/>
      <c r="Q236" s="83"/>
    </row>
    <row r="237" spans="1:17" ht="15">
      <c r="A237" s="64"/>
      <c r="B237" s="95"/>
      <c r="C237" s="70"/>
      <c r="D237" s="32">
        <v>2018</v>
      </c>
      <c r="E237" s="35">
        <f t="shared" si="28"/>
        <v>4.9872000000000005</v>
      </c>
      <c r="F237" s="35">
        <v>0</v>
      </c>
      <c r="G237" s="35">
        <f>5.0102-0.023</f>
        <v>4.9872000000000005</v>
      </c>
      <c r="H237" s="35">
        <v>0</v>
      </c>
      <c r="I237" s="35">
        <v>0</v>
      </c>
      <c r="J237" s="83" t="s">
        <v>195</v>
      </c>
      <c r="K237" s="83"/>
      <c r="L237" s="83"/>
      <c r="M237" s="83"/>
      <c r="N237" s="83"/>
      <c r="O237" s="83"/>
      <c r="P237" s="83"/>
      <c r="Q237" s="83"/>
    </row>
    <row r="238" spans="1:17" ht="15">
      <c r="A238" s="64"/>
      <c r="B238" s="95"/>
      <c r="C238" s="70"/>
      <c r="D238" s="32">
        <v>2019</v>
      </c>
      <c r="E238" s="35">
        <f t="shared" si="28"/>
        <v>5.0178</v>
      </c>
      <c r="F238" s="35">
        <v>0</v>
      </c>
      <c r="G238" s="35">
        <f>5.062-0.0442</f>
        <v>5.0178</v>
      </c>
      <c r="H238" s="35">
        <v>0</v>
      </c>
      <c r="I238" s="35">
        <v>0</v>
      </c>
      <c r="J238" s="83" t="s">
        <v>195</v>
      </c>
      <c r="K238" s="83"/>
      <c r="L238" s="83"/>
      <c r="M238" s="83"/>
      <c r="N238" s="83"/>
      <c r="O238" s="83"/>
      <c r="P238" s="83"/>
      <c r="Q238" s="83"/>
    </row>
    <row r="239" spans="1:17" ht="15">
      <c r="A239" s="64"/>
      <c r="B239" s="95"/>
      <c r="C239" s="70"/>
      <c r="D239" s="32">
        <v>2020</v>
      </c>
      <c r="E239" s="35">
        <f t="shared" si="28"/>
        <v>5.2583</v>
      </c>
      <c r="F239" s="35">
        <v>0</v>
      </c>
      <c r="G239" s="35">
        <v>5.2583</v>
      </c>
      <c r="H239" s="35">
        <v>0</v>
      </c>
      <c r="I239" s="35">
        <v>0</v>
      </c>
      <c r="J239" s="83" t="s">
        <v>195</v>
      </c>
      <c r="K239" s="83"/>
      <c r="L239" s="83"/>
      <c r="M239" s="83"/>
      <c r="N239" s="83"/>
      <c r="O239" s="83"/>
      <c r="P239" s="83"/>
      <c r="Q239" s="83"/>
    </row>
    <row r="240" spans="1:17" ht="15">
      <c r="A240" s="65"/>
      <c r="B240" s="96"/>
      <c r="C240" s="71"/>
      <c r="D240" s="32">
        <v>2021</v>
      </c>
      <c r="E240" s="35">
        <f t="shared" si="28"/>
        <v>5.4471</v>
      </c>
      <c r="F240" s="35">
        <f>F239</f>
        <v>0</v>
      </c>
      <c r="G240" s="35">
        <v>5.4471</v>
      </c>
      <c r="H240" s="35">
        <f>H239</f>
        <v>0</v>
      </c>
      <c r="I240" s="35">
        <f>I239</f>
        <v>0</v>
      </c>
      <c r="J240" s="113" t="str">
        <f>J239</f>
        <v>не менее 90</v>
      </c>
      <c r="K240" s="114"/>
      <c r="L240" s="114"/>
      <c r="M240" s="114"/>
      <c r="N240" s="114"/>
      <c r="O240" s="114"/>
      <c r="P240" s="114"/>
      <c r="Q240" s="115"/>
    </row>
    <row r="241" spans="1:17" ht="15" customHeight="1">
      <c r="A241" s="63" t="s">
        <v>185</v>
      </c>
      <c r="B241" s="94" t="s">
        <v>186</v>
      </c>
      <c r="C241" s="69" t="s">
        <v>23</v>
      </c>
      <c r="D241" s="42" t="s">
        <v>19</v>
      </c>
      <c r="E241" s="35">
        <f>E242+E243+E244+E245+E246+E247+E248</f>
        <v>0.4333</v>
      </c>
      <c r="F241" s="35">
        <f>F242+F243+F244+F245+F246+F247+F248</f>
        <v>0</v>
      </c>
      <c r="G241" s="35">
        <f>G242+G243+G244+G245+G246+G247+G248</f>
        <v>0.4333</v>
      </c>
      <c r="H241" s="35">
        <f>H242+H243+H244+H245+H246+H247+H248</f>
        <v>0</v>
      </c>
      <c r="I241" s="35">
        <f>I242+I243+I244+I245+I246+I247+I248</f>
        <v>0</v>
      </c>
      <c r="J241" s="112" t="s">
        <v>194</v>
      </c>
      <c r="K241" s="112"/>
      <c r="L241" s="112"/>
      <c r="M241" s="112"/>
      <c r="N241" s="112"/>
      <c r="O241" s="112"/>
      <c r="P241" s="112"/>
      <c r="Q241" s="112"/>
    </row>
    <row r="242" spans="1:17" ht="15">
      <c r="A242" s="64"/>
      <c r="B242" s="95"/>
      <c r="C242" s="70"/>
      <c r="D242" s="32">
        <v>2015</v>
      </c>
      <c r="E242" s="35">
        <f aca="true" t="shared" si="29" ref="E242:E248">F242+G242+H242+I242</f>
        <v>0.4333</v>
      </c>
      <c r="F242" s="35">
        <v>0</v>
      </c>
      <c r="G242" s="35">
        <v>0.4333</v>
      </c>
      <c r="H242" s="35">
        <v>0</v>
      </c>
      <c r="I242" s="35">
        <v>0</v>
      </c>
      <c r="J242" s="112" t="s">
        <v>195</v>
      </c>
      <c r="K242" s="112"/>
      <c r="L242" s="112"/>
      <c r="M242" s="112"/>
      <c r="N242" s="112"/>
      <c r="O242" s="112"/>
      <c r="P242" s="112"/>
      <c r="Q242" s="112"/>
    </row>
    <row r="243" spans="1:17" ht="15">
      <c r="A243" s="64"/>
      <c r="B243" s="95"/>
      <c r="C243" s="70"/>
      <c r="D243" s="32">
        <v>2016</v>
      </c>
      <c r="E243" s="35">
        <f t="shared" si="29"/>
        <v>0</v>
      </c>
      <c r="F243" s="35">
        <v>0</v>
      </c>
      <c r="G243" s="35">
        <v>0</v>
      </c>
      <c r="H243" s="35">
        <v>0</v>
      </c>
      <c r="I243" s="35">
        <v>0</v>
      </c>
      <c r="J243" s="112" t="s">
        <v>145</v>
      </c>
      <c r="K243" s="112"/>
      <c r="L243" s="112"/>
      <c r="M243" s="112"/>
      <c r="N243" s="112"/>
      <c r="O243" s="112"/>
      <c r="P243" s="112"/>
      <c r="Q243" s="112"/>
    </row>
    <row r="244" spans="1:17" ht="15">
      <c r="A244" s="64"/>
      <c r="B244" s="95"/>
      <c r="C244" s="70"/>
      <c r="D244" s="32">
        <v>2017</v>
      </c>
      <c r="E244" s="35">
        <f t="shared" si="29"/>
        <v>0</v>
      </c>
      <c r="F244" s="35">
        <v>0</v>
      </c>
      <c r="G244" s="35">
        <v>0</v>
      </c>
      <c r="H244" s="35">
        <v>0</v>
      </c>
      <c r="I244" s="35">
        <v>0</v>
      </c>
      <c r="J244" s="112" t="s">
        <v>145</v>
      </c>
      <c r="K244" s="112"/>
      <c r="L244" s="112"/>
      <c r="M244" s="112"/>
      <c r="N244" s="112"/>
      <c r="O244" s="112"/>
      <c r="P244" s="112"/>
      <c r="Q244" s="112"/>
    </row>
    <row r="245" spans="1:17" ht="15">
      <c r="A245" s="64"/>
      <c r="B245" s="95"/>
      <c r="C245" s="70"/>
      <c r="D245" s="32">
        <v>2018</v>
      </c>
      <c r="E245" s="35">
        <f t="shared" si="29"/>
        <v>0</v>
      </c>
      <c r="F245" s="35">
        <v>0</v>
      </c>
      <c r="G245" s="35">
        <v>0</v>
      </c>
      <c r="H245" s="35">
        <v>0</v>
      </c>
      <c r="I245" s="35">
        <v>0</v>
      </c>
      <c r="J245" s="112" t="s">
        <v>145</v>
      </c>
      <c r="K245" s="112"/>
      <c r="L245" s="112"/>
      <c r="M245" s="112"/>
      <c r="N245" s="112"/>
      <c r="O245" s="112"/>
      <c r="P245" s="112"/>
      <c r="Q245" s="112"/>
    </row>
    <row r="246" spans="1:17" ht="15">
      <c r="A246" s="64"/>
      <c r="B246" s="95"/>
      <c r="C246" s="70"/>
      <c r="D246" s="32">
        <v>2019</v>
      </c>
      <c r="E246" s="35">
        <f t="shared" si="29"/>
        <v>0</v>
      </c>
      <c r="F246" s="35">
        <v>0</v>
      </c>
      <c r="G246" s="35">
        <v>0</v>
      </c>
      <c r="H246" s="35">
        <v>0</v>
      </c>
      <c r="I246" s="35">
        <v>0</v>
      </c>
      <c r="J246" s="112" t="s">
        <v>145</v>
      </c>
      <c r="K246" s="112"/>
      <c r="L246" s="112"/>
      <c r="M246" s="112"/>
      <c r="N246" s="112"/>
      <c r="O246" s="112"/>
      <c r="P246" s="112"/>
      <c r="Q246" s="112"/>
    </row>
    <row r="247" spans="1:17" ht="15">
      <c r="A247" s="64"/>
      <c r="B247" s="95"/>
      <c r="C247" s="70"/>
      <c r="D247" s="32">
        <v>2020</v>
      </c>
      <c r="E247" s="35">
        <f t="shared" si="29"/>
        <v>0</v>
      </c>
      <c r="F247" s="35">
        <v>0</v>
      </c>
      <c r="G247" s="35">
        <v>0</v>
      </c>
      <c r="H247" s="35">
        <v>0</v>
      </c>
      <c r="I247" s="35">
        <v>0</v>
      </c>
      <c r="J247" s="112" t="s">
        <v>145</v>
      </c>
      <c r="K247" s="112"/>
      <c r="L247" s="112"/>
      <c r="M247" s="112"/>
      <c r="N247" s="112"/>
      <c r="O247" s="112"/>
      <c r="P247" s="112"/>
      <c r="Q247" s="112"/>
    </row>
    <row r="248" spans="1:17" ht="38.25" customHeight="1">
      <c r="A248" s="65"/>
      <c r="B248" s="96"/>
      <c r="C248" s="71"/>
      <c r="D248" s="32">
        <v>2021</v>
      </c>
      <c r="E248" s="35">
        <f t="shared" si="29"/>
        <v>0</v>
      </c>
      <c r="F248" s="35">
        <f>F247</f>
        <v>0</v>
      </c>
      <c r="G248" s="35">
        <f>G247</f>
        <v>0</v>
      </c>
      <c r="H248" s="35">
        <f>H247</f>
        <v>0</v>
      </c>
      <c r="I248" s="35">
        <f>I247</f>
        <v>0</v>
      </c>
      <c r="J248" s="112" t="s">
        <v>145</v>
      </c>
      <c r="K248" s="112"/>
      <c r="L248" s="112"/>
      <c r="M248" s="112"/>
      <c r="N248" s="112"/>
      <c r="O248" s="112"/>
      <c r="P248" s="112"/>
      <c r="Q248" s="112"/>
    </row>
    <row r="249" spans="1:17" ht="15">
      <c r="A249" s="63" t="s">
        <v>187</v>
      </c>
      <c r="B249" s="94" t="s">
        <v>147</v>
      </c>
      <c r="C249" s="69" t="s">
        <v>23</v>
      </c>
      <c r="D249" s="42" t="s">
        <v>19</v>
      </c>
      <c r="E249" s="35">
        <f>E250+E251+E252+E253+E254+E255+E256</f>
        <v>1.6768</v>
      </c>
      <c r="F249" s="35">
        <f>F250+F251+F252+F253+F254+F255+F256</f>
        <v>0</v>
      </c>
      <c r="G249" s="35">
        <f>G250+G251+G252+G253+G254+G255+G256</f>
        <v>1.6768</v>
      </c>
      <c r="H249" s="35">
        <f>H250+H251+H252+H253+H254+H255+H256</f>
        <v>0</v>
      </c>
      <c r="I249" s="35">
        <f>I250+I251+I252+I253+I254+I255+I256</f>
        <v>0</v>
      </c>
      <c r="J249" s="83" t="s">
        <v>194</v>
      </c>
      <c r="K249" s="83"/>
      <c r="L249" s="83"/>
      <c r="M249" s="83"/>
      <c r="N249" s="83"/>
      <c r="O249" s="83"/>
      <c r="P249" s="83"/>
      <c r="Q249" s="83"/>
    </row>
    <row r="250" spans="1:17" ht="15">
      <c r="A250" s="64"/>
      <c r="B250" s="95"/>
      <c r="C250" s="70"/>
      <c r="D250" s="32">
        <v>2015</v>
      </c>
      <c r="E250" s="35">
        <f aca="true" t="shared" si="30" ref="E250:E256">F250+G250+H250+I250</f>
        <v>0</v>
      </c>
      <c r="F250" s="35">
        <v>0</v>
      </c>
      <c r="G250" s="35">
        <v>0</v>
      </c>
      <c r="H250" s="35">
        <v>0</v>
      </c>
      <c r="I250" s="35">
        <v>0</v>
      </c>
      <c r="J250" s="83" t="s">
        <v>145</v>
      </c>
      <c r="K250" s="83"/>
      <c r="L250" s="83"/>
      <c r="M250" s="83"/>
      <c r="N250" s="83"/>
      <c r="O250" s="83"/>
      <c r="P250" s="83"/>
      <c r="Q250" s="83"/>
    </row>
    <row r="251" spans="1:17" ht="17.25" customHeight="1">
      <c r="A251" s="64"/>
      <c r="B251" s="95"/>
      <c r="C251" s="70"/>
      <c r="D251" s="32">
        <v>2016</v>
      </c>
      <c r="E251" s="35">
        <f t="shared" si="30"/>
        <v>0.2366</v>
      </c>
      <c r="F251" s="35">
        <v>0</v>
      </c>
      <c r="G251" s="35">
        <v>0.2366</v>
      </c>
      <c r="H251" s="35">
        <v>0</v>
      </c>
      <c r="I251" s="35">
        <v>0</v>
      </c>
      <c r="J251" s="83" t="s">
        <v>195</v>
      </c>
      <c r="K251" s="83"/>
      <c r="L251" s="83"/>
      <c r="M251" s="83"/>
      <c r="N251" s="83"/>
      <c r="O251" s="83"/>
      <c r="P251" s="83"/>
      <c r="Q251" s="83"/>
    </row>
    <row r="252" spans="1:17" ht="17.25" customHeight="1">
      <c r="A252" s="64"/>
      <c r="B252" s="95"/>
      <c r="C252" s="70"/>
      <c r="D252" s="32">
        <v>2017</v>
      </c>
      <c r="E252" s="35">
        <f t="shared" si="30"/>
        <v>0.24500000000000002</v>
      </c>
      <c r="F252" s="35">
        <v>0</v>
      </c>
      <c r="G252" s="35">
        <f>0.2404+0.0017+0.0009+0.002</f>
        <v>0.24500000000000002</v>
      </c>
      <c r="H252" s="35">
        <v>0</v>
      </c>
      <c r="I252" s="35">
        <v>0</v>
      </c>
      <c r="J252" s="83" t="s">
        <v>195</v>
      </c>
      <c r="K252" s="83"/>
      <c r="L252" s="83"/>
      <c r="M252" s="83"/>
      <c r="N252" s="83"/>
      <c r="O252" s="83"/>
      <c r="P252" s="83"/>
      <c r="Q252" s="83"/>
    </row>
    <row r="253" spans="1:17" ht="17.25" customHeight="1">
      <c r="A253" s="64"/>
      <c r="B253" s="95"/>
      <c r="C253" s="70"/>
      <c r="D253" s="32">
        <v>2018</v>
      </c>
      <c r="E253" s="35">
        <f t="shared" si="30"/>
        <v>0.2762</v>
      </c>
      <c r="F253" s="35">
        <v>0</v>
      </c>
      <c r="G253" s="35">
        <f>0.2684+0.0026+0.001+0.0042</f>
        <v>0.2762</v>
      </c>
      <c r="H253" s="35">
        <v>0</v>
      </c>
      <c r="I253" s="35">
        <v>0</v>
      </c>
      <c r="J253" s="83" t="s">
        <v>195</v>
      </c>
      <c r="K253" s="83"/>
      <c r="L253" s="83"/>
      <c r="M253" s="83"/>
      <c r="N253" s="83"/>
      <c r="O253" s="83"/>
      <c r="P253" s="83"/>
      <c r="Q253" s="83"/>
    </row>
    <row r="254" spans="1:17" ht="17.25" customHeight="1">
      <c r="A254" s="64"/>
      <c r="B254" s="95"/>
      <c r="C254" s="70"/>
      <c r="D254" s="32">
        <v>2019</v>
      </c>
      <c r="E254" s="35">
        <f t="shared" si="30"/>
        <v>0.28709999999999997</v>
      </c>
      <c r="F254" s="35">
        <v>0</v>
      </c>
      <c r="G254" s="35">
        <f>0.2869+0.0001+0.0001</f>
        <v>0.28709999999999997</v>
      </c>
      <c r="H254" s="35">
        <v>0</v>
      </c>
      <c r="I254" s="35">
        <v>0</v>
      </c>
      <c r="J254" s="83" t="s">
        <v>195</v>
      </c>
      <c r="K254" s="83"/>
      <c r="L254" s="83"/>
      <c r="M254" s="83"/>
      <c r="N254" s="83"/>
      <c r="O254" s="83"/>
      <c r="P254" s="83"/>
      <c r="Q254" s="83"/>
    </row>
    <row r="255" spans="1:17" ht="15">
      <c r="A255" s="64"/>
      <c r="B255" s="95"/>
      <c r="C255" s="70"/>
      <c r="D255" s="32">
        <v>2020</v>
      </c>
      <c r="E255" s="35">
        <f t="shared" si="30"/>
        <v>0.3059</v>
      </c>
      <c r="F255" s="35">
        <v>0</v>
      </c>
      <c r="G255" s="35">
        <v>0.3059</v>
      </c>
      <c r="H255" s="35">
        <v>0</v>
      </c>
      <c r="I255" s="35">
        <v>0</v>
      </c>
      <c r="J255" s="83" t="s">
        <v>195</v>
      </c>
      <c r="K255" s="83"/>
      <c r="L255" s="83"/>
      <c r="M255" s="83"/>
      <c r="N255" s="83"/>
      <c r="O255" s="83"/>
      <c r="P255" s="83"/>
      <c r="Q255" s="83"/>
    </row>
    <row r="256" spans="1:17" ht="67.5" customHeight="1">
      <c r="A256" s="65"/>
      <c r="B256" s="96"/>
      <c r="C256" s="71"/>
      <c r="D256" s="32">
        <v>2021</v>
      </c>
      <c r="E256" s="35">
        <f t="shared" si="30"/>
        <v>0.326</v>
      </c>
      <c r="F256" s="35">
        <f>F255</f>
        <v>0</v>
      </c>
      <c r="G256" s="35">
        <v>0.326</v>
      </c>
      <c r="H256" s="35">
        <f>H255</f>
        <v>0</v>
      </c>
      <c r="I256" s="35">
        <f>I255</f>
        <v>0</v>
      </c>
      <c r="J256" s="113" t="str">
        <f>J255</f>
        <v>не менее 90</v>
      </c>
      <c r="K256" s="114"/>
      <c r="L256" s="114"/>
      <c r="M256" s="114"/>
      <c r="N256" s="114"/>
      <c r="O256" s="114"/>
      <c r="P256" s="114"/>
      <c r="Q256" s="115"/>
    </row>
    <row r="257" spans="1:17" ht="18" customHeight="1">
      <c r="A257" s="63" t="s">
        <v>188</v>
      </c>
      <c r="B257" s="94" t="s">
        <v>131</v>
      </c>
      <c r="C257" s="69" t="s">
        <v>23</v>
      </c>
      <c r="D257" s="42" t="s">
        <v>19</v>
      </c>
      <c r="E257" s="35">
        <f>E258+E259+E260+E261+E262+E263+E264</f>
        <v>0.004</v>
      </c>
      <c r="F257" s="35">
        <f>F258+F259+F260+F261+F262+F263+F264</f>
        <v>0</v>
      </c>
      <c r="G257" s="35">
        <f>G258+G259+G260+G261+G262+G263+G264</f>
        <v>0.004</v>
      </c>
      <c r="H257" s="35">
        <f>H258+H259+H260+H261+H262+H263+H264</f>
        <v>0</v>
      </c>
      <c r="I257" s="35">
        <f>I258+I259+I260+I261+I262+I263+I264</f>
        <v>0</v>
      </c>
      <c r="J257" s="83" t="s">
        <v>194</v>
      </c>
      <c r="K257" s="83"/>
      <c r="L257" s="83"/>
      <c r="M257" s="83"/>
      <c r="N257" s="83"/>
      <c r="O257" s="83"/>
      <c r="P257" s="83"/>
      <c r="Q257" s="83"/>
    </row>
    <row r="258" spans="1:17" ht="15">
      <c r="A258" s="64"/>
      <c r="B258" s="95"/>
      <c r="C258" s="70"/>
      <c r="D258" s="32">
        <v>2015</v>
      </c>
      <c r="E258" s="35">
        <f aca="true" t="shared" si="31" ref="E258:E264">F258+G258+H258+I258</f>
        <v>0.0012</v>
      </c>
      <c r="F258" s="35">
        <v>0</v>
      </c>
      <c r="G258" s="35">
        <v>0.0012</v>
      </c>
      <c r="H258" s="35">
        <v>0</v>
      </c>
      <c r="I258" s="35">
        <v>0</v>
      </c>
      <c r="J258" s="83" t="s">
        <v>195</v>
      </c>
      <c r="K258" s="83"/>
      <c r="L258" s="83"/>
      <c r="M258" s="83"/>
      <c r="N258" s="83"/>
      <c r="O258" s="83"/>
      <c r="P258" s="83"/>
      <c r="Q258" s="83"/>
    </row>
    <row r="259" spans="1:17" ht="15">
      <c r="A259" s="64"/>
      <c r="B259" s="95"/>
      <c r="C259" s="70"/>
      <c r="D259" s="32">
        <v>2016</v>
      </c>
      <c r="E259" s="35">
        <f t="shared" si="31"/>
        <v>0.0012</v>
      </c>
      <c r="F259" s="35">
        <v>0</v>
      </c>
      <c r="G259" s="35">
        <v>0.0012</v>
      </c>
      <c r="H259" s="35">
        <v>0</v>
      </c>
      <c r="I259" s="35">
        <v>0</v>
      </c>
      <c r="J259" s="83" t="s">
        <v>195</v>
      </c>
      <c r="K259" s="83"/>
      <c r="L259" s="83"/>
      <c r="M259" s="83"/>
      <c r="N259" s="83"/>
      <c r="O259" s="83"/>
      <c r="P259" s="83"/>
      <c r="Q259" s="83"/>
    </row>
    <row r="260" spans="1:17" ht="15">
      <c r="A260" s="64"/>
      <c r="B260" s="95"/>
      <c r="C260" s="70"/>
      <c r="D260" s="32">
        <v>2017</v>
      </c>
      <c r="E260" s="35">
        <f t="shared" si="31"/>
        <v>0.001</v>
      </c>
      <c r="F260" s="35">
        <v>0</v>
      </c>
      <c r="G260" s="35">
        <f>0.001</f>
        <v>0.001</v>
      </c>
      <c r="H260" s="35">
        <v>0</v>
      </c>
      <c r="I260" s="35">
        <v>0</v>
      </c>
      <c r="J260" s="83" t="s">
        <v>195</v>
      </c>
      <c r="K260" s="83"/>
      <c r="L260" s="83"/>
      <c r="M260" s="83"/>
      <c r="N260" s="83"/>
      <c r="O260" s="83"/>
      <c r="P260" s="83"/>
      <c r="Q260" s="83"/>
    </row>
    <row r="261" spans="1:17" ht="15">
      <c r="A261" s="64"/>
      <c r="B261" s="95"/>
      <c r="C261" s="70"/>
      <c r="D261" s="32">
        <v>2018</v>
      </c>
      <c r="E261" s="35">
        <f t="shared" si="31"/>
        <v>0.0006000000000000001</v>
      </c>
      <c r="F261" s="35">
        <v>0</v>
      </c>
      <c r="G261" s="35">
        <f>0.001-0.0004</f>
        <v>0.0006000000000000001</v>
      </c>
      <c r="H261" s="35">
        <v>0</v>
      </c>
      <c r="I261" s="35">
        <v>0</v>
      </c>
      <c r="J261" s="83" t="s">
        <v>195</v>
      </c>
      <c r="K261" s="83"/>
      <c r="L261" s="83"/>
      <c r="M261" s="83"/>
      <c r="N261" s="83"/>
      <c r="O261" s="83"/>
      <c r="P261" s="83"/>
      <c r="Q261" s="83"/>
    </row>
    <row r="262" spans="1:17" ht="15">
      <c r="A262" s="64"/>
      <c r="B262" s="95"/>
      <c r="C262" s="70"/>
      <c r="D262" s="32">
        <v>2019</v>
      </c>
      <c r="E262" s="35">
        <f t="shared" si="31"/>
        <v>0</v>
      </c>
      <c r="F262" s="35">
        <v>0</v>
      </c>
      <c r="G262" s="35">
        <v>0</v>
      </c>
      <c r="H262" s="35">
        <v>0</v>
      </c>
      <c r="I262" s="35">
        <v>0</v>
      </c>
      <c r="J262" s="83" t="s">
        <v>195</v>
      </c>
      <c r="K262" s="83"/>
      <c r="L262" s="83"/>
      <c r="M262" s="83"/>
      <c r="N262" s="83"/>
      <c r="O262" s="83"/>
      <c r="P262" s="83"/>
      <c r="Q262" s="83"/>
    </row>
    <row r="263" spans="1:17" ht="15">
      <c r="A263" s="64"/>
      <c r="B263" s="95"/>
      <c r="C263" s="70"/>
      <c r="D263" s="32">
        <v>2020</v>
      </c>
      <c r="E263" s="35">
        <f t="shared" si="31"/>
        <v>0</v>
      </c>
      <c r="F263" s="35">
        <v>0</v>
      </c>
      <c r="G263" s="35">
        <v>0</v>
      </c>
      <c r="H263" s="35">
        <v>0</v>
      </c>
      <c r="I263" s="35">
        <v>0</v>
      </c>
      <c r="J263" s="83" t="s">
        <v>195</v>
      </c>
      <c r="K263" s="83"/>
      <c r="L263" s="83"/>
      <c r="M263" s="83"/>
      <c r="N263" s="83"/>
      <c r="O263" s="83"/>
      <c r="P263" s="83"/>
      <c r="Q263" s="83"/>
    </row>
    <row r="264" spans="1:17" ht="15">
      <c r="A264" s="65"/>
      <c r="B264" s="96"/>
      <c r="C264" s="71"/>
      <c r="D264" s="32">
        <v>2021</v>
      </c>
      <c r="E264" s="35">
        <f t="shared" si="31"/>
        <v>0</v>
      </c>
      <c r="F264" s="35">
        <f>F263</f>
        <v>0</v>
      </c>
      <c r="G264" s="35">
        <v>0</v>
      </c>
      <c r="H264" s="35">
        <f>H263</f>
        <v>0</v>
      </c>
      <c r="I264" s="35">
        <f>I263</f>
        <v>0</v>
      </c>
      <c r="J264" s="113" t="str">
        <f>J263</f>
        <v>не менее 90</v>
      </c>
      <c r="K264" s="114"/>
      <c r="L264" s="114"/>
      <c r="M264" s="114"/>
      <c r="N264" s="114"/>
      <c r="O264" s="114"/>
      <c r="P264" s="114"/>
      <c r="Q264" s="115"/>
    </row>
    <row r="265" spans="1:17" ht="17.25" customHeight="1">
      <c r="A265" s="63" t="s">
        <v>189</v>
      </c>
      <c r="B265" s="94" t="s">
        <v>132</v>
      </c>
      <c r="C265" s="69" t="s">
        <v>23</v>
      </c>
      <c r="D265" s="42" t="s">
        <v>19</v>
      </c>
      <c r="E265" s="35">
        <f>E266+E267+E268+E269+E270+E271+E272</f>
        <v>21.0238</v>
      </c>
      <c r="F265" s="35">
        <f>F266+F267+F268+F269+F270+F271+F272</f>
        <v>0</v>
      </c>
      <c r="G265" s="35">
        <f>G266+G267+G268+G269+G270+G271+G272</f>
        <v>21.0238</v>
      </c>
      <c r="H265" s="35">
        <f>H266+H267+H268+H269+H270+H271+H272</f>
        <v>0</v>
      </c>
      <c r="I265" s="35">
        <f>I266+I267+I268+I269+I270+I271+I272</f>
        <v>0</v>
      </c>
      <c r="J265" s="83" t="s">
        <v>194</v>
      </c>
      <c r="K265" s="83"/>
      <c r="L265" s="83"/>
      <c r="M265" s="83"/>
      <c r="N265" s="83"/>
      <c r="O265" s="83"/>
      <c r="P265" s="83"/>
      <c r="Q265" s="83"/>
    </row>
    <row r="266" spans="1:17" ht="17.25" customHeight="1">
      <c r="A266" s="64"/>
      <c r="B266" s="95"/>
      <c r="C266" s="70"/>
      <c r="D266" s="32">
        <v>2015</v>
      </c>
      <c r="E266" s="35">
        <f aca="true" t="shared" si="32" ref="E266:E272">F266+G266+H266+I266</f>
        <v>2.555</v>
      </c>
      <c r="F266" s="35">
        <v>0</v>
      </c>
      <c r="G266" s="35">
        <v>2.555</v>
      </c>
      <c r="H266" s="35">
        <v>0</v>
      </c>
      <c r="I266" s="35">
        <v>0</v>
      </c>
      <c r="J266" s="83" t="s">
        <v>195</v>
      </c>
      <c r="K266" s="83"/>
      <c r="L266" s="83"/>
      <c r="M266" s="83"/>
      <c r="N266" s="83"/>
      <c r="O266" s="83"/>
      <c r="P266" s="83"/>
      <c r="Q266" s="83"/>
    </row>
    <row r="267" spans="1:17" ht="17.25" customHeight="1">
      <c r="A267" s="64"/>
      <c r="B267" s="95"/>
      <c r="C267" s="70"/>
      <c r="D267" s="32">
        <v>2016</v>
      </c>
      <c r="E267" s="35">
        <f t="shared" si="32"/>
        <v>2.3515</v>
      </c>
      <c r="F267" s="35">
        <v>0</v>
      </c>
      <c r="G267" s="35">
        <v>2.3515</v>
      </c>
      <c r="H267" s="35">
        <v>0</v>
      </c>
      <c r="I267" s="35">
        <v>0</v>
      </c>
      <c r="J267" s="83" t="s">
        <v>195</v>
      </c>
      <c r="K267" s="83"/>
      <c r="L267" s="83"/>
      <c r="M267" s="83"/>
      <c r="N267" s="83"/>
      <c r="O267" s="83"/>
      <c r="P267" s="83"/>
      <c r="Q267" s="83"/>
    </row>
    <row r="268" spans="1:17" ht="17.25" customHeight="1">
      <c r="A268" s="64"/>
      <c r="B268" s="95"/>
      <c r="C268" s="70"/>
      <c r="D268" s="32">
        <v>2017</v>
      </c>
      <c r="E268" s="35">
        <f t="shared" si="32"/>
        <v>2.2943</v>
      </c>
      <c r="F268" s="35">
        <v>0</v>
      </c>
      <c r="G268" s="35">
        <v>2.2943</v>
      </c>
      <c r="H268" s="35">
        <v>0</v>
      </c>
      <c r="I268" s="35">
        <v>0</v>
      </c>
      <c r="J268" s="83" t="s">
        <v>195</v>
      </c>
      <c r="K268" s="83"/>
      <c r="L268" s="83"/>
      <c r="M268" s="83"/>
      <c r="N268" s="83"/>
      <c r="O268" s="83"/>
      <c r="P268" s="83"/>
      <c r="Q268" s="83"/>
    </row>
    <row r="269" spans="1:17" ht="17.25" customHeight="1">
      <c r="A269" s="64"/>
      <c r="B269" s="95"/>
      <c r="C269" s="70"/>
      <c r="D269" s="32">
        <v>2018</v>
      </c>
      <c r="E269" s="35">
        <f t="shared" si="32"/>
        <v>3.1184</v>
      </c>
      <c r="F269" s="35">
        <v>0</v>
      </c>
      <c r="G269" s="35">
        <f>2.6165+0.5123-0.0104</f>
        <v>3.1184</v>
      </c>
      <c r="H269" s="35">
        <v>0</v>
      </c>
      <c r="I269" s="35">
        <v>0</v>
      </c>
      <c r="J269" s="83" t="s">
        <v>195</v>
      </c>
      <c r="K269" s="83"/>
      <c r="L269" s="83"/>
      <c r="M269" s="83"/>
      <c r="N269" s="83"/>
      <c r="O269" s="83"/>
      <c r="P269" s="83"/>
      <c r="Q269" s="83"/>
    </row>
    <row r="270" spans="1:17" ht="17.25" customHeight="1">
      <c r="A270" s="64"/>
      <c r="B270" s="95"/>
      <c r="C270" s="70"/>
      <c r="D270" s="32">
        <v>2019</v>
      </c>
      <c r="E270" s="35">
        <f t="shared" si="32"/>
        <v>3.4055999999999997</v>
      </c>
      <c r="F270" s="35">
        <v>0</v>
      </c>
      <c r="G270" s="35">
        <f>3.4726-0.067</f>
        <v>3.4055999999999997</v>
      </c>
      <c r="H270" s="35">
        <v>0</v>
      </c>
      <c r="I270" s="35">
        <v>0</v>
      </c>
      <c r="J270" s="83" t="s">
        <v>195</v>
      </c>
      <c r="K270" s="83"/>
      <c r="L270" s="83"/>
      <c r="M270" s="83"/>
      <c r="N270" s="83"/>
      <c r="O270" s="83"/>
      <c r="P270" s="83"/>
      <c r="Q270" s="83"/>
    </row>
    <row r="271" spans="1:17" ht="17.25" customHeight="1">
      <c r="A271" s="64"/>
      <c r="B271" s="95"/>
      <c r="C271" s="70"/>
      <c r="D271" s="32">
        <v>2020</v>
      </c>
      <c r="E271" s="35">
        <f t="shared" si="32"/>
        <v>3.5978</v>
      </c>
      <c r="F271" s="35">
        <v>0</v>
      </c>
      <c r="G271" s="35">
        <v>3.5978</v>
      </c>
      <c r="H271" s="35">
        <v>0</v>
      </c>
      <c r="I271" s="35">
        <v>0</v>
      </c>
      <c r="J271" s="83" t="s">
        <v>195</v>
      </c>
      <c r="K271" s="83"/>
      <c r="L271" s="83"/>
      <c r="M271" s="83"/>
      <c r="N271" s="83"/>
      <c r="O271" s="83"/>
      <c r="P271" s="83"/>
      <c r="Q271" s="83"/>
    </row>
    <row r="272" spans="1:17" ht="17.25" customHeight="1">
      <c r="A272" s="65"/>
      <c r="B272" s="96"/>
      <c r="C272" s="71"/>
      <c r="D272" s="32">
        <v>2021</v>
      </c>
      <c r="E272" s="35">
        <f t="shared" si="32"/>
        <v>3.7012</v>
      </c>
      <c r="F272" s="35">
        <f>F271</f>
        <v>0</v>
      </c>
      <c r="G272" s="35">
        <v>3.7012</v>
      </c>
      <c r="H272" s="35">
        <f>H271</f>
        <v>0</v>
      </c>
      <c r="I272" s="35">
        <f>I271</f>
        <v>0</v>
      </c>
      <c r="J272" s="113" t="str">
        <f>J271</f>
        <v>не менее 90</v>
      </c>
      <c r="K272" s="114"/>
      <c r="L272" s="114"/>
      <c r="M272" s="114"/>
      <c r="N272" s="114"/>
      <c r="O272" s="114"/>
      <c r="P272" s="114"/>
      <c r="Q272" s="115"/>
    </row>
    <row r="273" spans="1:17" ht="15">
      <c r="A273" s="63" t="s">
        <v>190</v>
      </c>
      <c r="B273" s="94" t="s">
        <v>139</v>
      </c>
      <c r="C273" s="69" t="s">
        <v>23</v>
      </c>
      <c r="D273" s="42" t="s">
        <v>19</v>
      </c>
      <c r="E273" s="35">
        <f>E274+E275+E276+E277+E278+E279+E280</f>
        <v>0.1329</v>
      </c>
      <c r="F273" s="35">
        <f>F274+F275+F276+F277+F278+F279+F280</f>
        <v>0</v>
      </c>
      <c r="G273" s="35">
        <f>G274+G275+G276+G277+G278+G279+G280</f>
        <v>0.1329</v>
      </c>
      <c r="H273" s="35">
        <f>H274+H275+H276+H277+H278+H279+H280</f>
        <v>0</v>
      </c>
      <c r="I273" s="35">
        <f>I274+I275+I276+I277+I278+I279+I280</f>
        <v>0</v>
      </c>
      <c r="J273" s="83" t="s">
        <v>194</v>
      </c>
      <c r="K273" s="83"/>
      <c r="L273" s="83"/>
      <c r="M273" s="83"/>
      <c r="N273" s="83"/>
      <c r="O273" s="83"/>
      <c r="P273" s="83"/>
      <c r="Q273" s="83"/>
    </row>
    <row r="274" spans="1:17" ht="15">
      <c r="A274" s="64"/>
      <c r="B274" s="95"/>
      <c r="C274" s="70"/>
      <c r="D274" s="32">
        <v>2015</v>
      </c>
      <c r="E274" s="35">
        <f aca="true" t="shared" si="33" ref="E274:E280">F274+G274+H274+I274</f>
        <v>0.0166</v>
      </c>
      <c r="F274" s="35">
        <v>0</v>
      </c>
      <c r="G274" s="35">
        <v>0.0166</v>
      </c>
      <c r="H274" s="35">
        <v>0</v>
      </c>
      <c r="I274" s="35">
        <v>0</v>
      </c>
      <c r="J274" s="83" t="s">
        <v>195</v>
      </c>
      <c r="K274" s="83"/>
      <c r="L274" s="83"/>
      <c r="M274" s="83"/>
      <c r="N274" s="83"/>
      <c r="O274" s="83"/>
      <c r="P274" s="83"/>
      <c r="Q274" s="83"/>
    </row>
    <row r="275" spans="1:17" ht="15">
      <c r="A275" s="64"/>
      <c r="B275" s="95"/>
      <c r="C275" s="70"/>
      <c r="D275" s="32">
        <v>2016</v>
      </c>
      <c r="E275" s="35">
        <f t="shared" si="33"/>
        <v>0.0181</v>
      </c>
      <c r="F275" s="35">
        <v>0</v>
      </c>
      <c r="G275" s="35">
        <v>0.0181</v>
      </c>
      <c r="H275" s="35">
        <v>0</v>
      </c>
      <c r="I275" s="35">
        <v>0</v>
      </c>
      <c r="J275" s="83" t="s">
        <v>195</v>
      </c>
      <c r="K275" s="83"/>
      <c r="L275" s="83"/>
      <c r="M275" s="83"/>
      <c r="N275" s="83"/>
      <c r="O275" s="83"/>
      <c r="P275" s="83"/>
      <c r="Q275" s="83"/>
    </row>
    <row r="276" spans="1:17" ht="15">
      <c r="A276" s="64"/>
      <c r="B276" s="95"/>
      <c r="C276" s="70"/>
      <c r="D276" s="32">
        <v>2017</v>
      </c>
      <c r="E276" s="35">
        <f t="shared" si="33"/>
        <v>0.0195</v>
      </c>
      <c r="F276" s="35">
        <v>0</v>
      </c>
      <c r="G276" s="35">
        <v>0.0195</v>
      </c>
      <c r="H276" s="35">
        <v>0</v>
      </c>
      <c r="I276" s="35">
        <v>0</v>
      </c>
      <c r="J276" s="83" t="s">
        <v>195</v>
      </c>
      <c r="K276" s="83"/>
      <c r="L276" s="83"/>
      <c r="M276" s="83"/>
      <c r="N276" s="83"/>
      <c r="O276" s="83"/>
      <c r="P276" s="83"/>
      <c r="Q276" s="83"/>
    </row>
    <row r="277" spans="1:17" ht="15">
      <c r="A277" s="64"/>
      <c r="B277" s="95"/>
      <c r="C277" s="70"/>
      <c r="D277" s="32">
        <v>2018</v>
      </c>
      <c r="E277" s="35">
        <f t="shared" si="33"/>
        <v>0.0185</v>
      </c>
      <c r="F277" s="35">
        <v>0</v>
      </c>
      <c r="G277" s="35">
        <v>0.0185</v>
      </c>
      <c r="H277" s="35">
        <v>0</v>
      </c>
      <c r="I277" s="35">
        <v>0</v>
      </c>
      <c r="J277" s="83" t="s">
        <v>195</v>
      </c>
      <c r="K277" s="83"/>
      <c r="L277" s="83"/>
      <c r="M277" s="83"/>
      <c r="N277" s="83"/>
      <c r="O277" s="83"/>
      <c r="P277" s="83"/>
      <c r="Q277" s="83"/>
    </row>
    <row r="278" spans="1:17" ht="15">
      <c r="A278" s="64"/>
      <c r="B278" s="95"/>
      <c r="C278" s="70"/>
      <c r="D278" s="32">
        <v>2019</v>
      </c>
      <c r="E278" s="35">
        <f t="shared" si="33"/>
        <v>0.0211</v>
      </c>
      <c r="F278" s="35">
        <v>0</v>
      </c>
      <c r="G278" s="35">
        <v>0.0211</v>
      </c>
      <c r="H278" s="35">
        <v>0</v>
      </c>
      <c r="I278" s="35">
        <v>0</v>
      </c>
      <c r="J278" s="83" t="s">
        <v>195</v>
      </c>
      <c r="K278" s="83"/>
      <c r="L278" s="83"/>
      <c r="M278" s="83"/>
      <c r="N278" s="83"/>
      <c r="O278" s="83"/>
      <c r="P278" s="83"/>
      <c r="Q278" s="83"/>
    </row>
    <row r="279" spans="1:17" ht="15">
      <c r="A279" s="64"/>
      <c r="B279" s="95"/>
      <c r="C279" s="70"/>
      <c r="D279" s="32">
        <v>2020</v>
      </c>
      <c r="E279" s="35">
        <f t="shared" si="33"/>
        <v>0.0189</v>
      </c>
      <c r="F279" s="35">
        <v>0</v>
      </c>
      <c r="G279" s="35">
        <v>0.0189</v>
      </c>
      <c r="H279" s="35">
        <v>0</v>
      </c>
      <c r="I279" s="35">
        <v>0</v>
      </c>
      <c r="J279" s="83" t="s">
        <v>195</v>
      </c>
      <c r="K279" s="83"/>
      <c r="L279" s="83"/>
      <c r="M279" s="83"/>
      <c r="N279" s="83"/>
      <c r="O279" s="83"/>
      <c r="P279" s="83"/>
      <c r="Q279" s="83"/>
    </row>
    <row r="280" spans="1:17" ht="51" customHeight="1">
      <c r="A280" s="65"/>
      <c r="B280" s="96"/>
      <c r="C280" s="71"/>
      <c r="D280" s="32">
        <v>2021</v>
      </c>
      <c r="E280" s="35">
        <f t="shared" si="33"/>
        <v>0.0202</v>
      </c>
      <c r="F280" s="35">
        <f>F279</f>
        <v>0</v>
      </c>
      <c r="G280" s="35">
        <v>0.0202</v>
      </c>
      <c r="H280" s="35">
        <f>H279</f>
        <v>0</v>
      </c>
      <c r="I280" s="35">
        <f>I279</f>
        <v>0</v>
      </c>
      <c r="J280" s="113" t="str">
        <f>J279</f>
        <v>не менее 90</v>
      </c>
      <c r="K280" s="114"/>
      <c r="L280" s="114"/>
      <c r="M280" s="114"/>
      <c r="N280" s="114"/>
      <c r="O280" s="114"/>
      <c r="P280" s="114"/>
      <c r="Q280" s="115"/>
    </row>
    <row r="281" spans="1:17" ht="15">
      <c r="A281" s="63" t="s">
        <v>191</v>
      </c>
      <c r="B281" s="94" t="s">
        <v>146</v>
      </c>
      <c r="C281" s="69" t="s">
        <v>23</v>
      </c>
      <c r="D281" s="42" t="s">
        <v>19</v>
      </c>
      <c r="E281" s="35">
        <f>E282+E283+E284+E285+E286+E287+E288</f>
        <v>1.5805999999999998</v>
      </c>
      <c r="F281" s="35">
        <f>F282+F283+F284+F285+F286+F287+F288</f>
        <v>0</v>
      </c>
      <c r="G281" s="35">
        <f>G282+G283+G284+G285+G286+G287+G288</f>
        <v>1.5805999999999998</v>
      </c>
      <c r="H281" s="35">
        <f>H282+H283+H284+H285+H286+H287+H288</f>
        <v>0</v>
      </c>
      <c r="I281" s="35">
        <f>I282+I283+I284+I285+I286+I287+I288</f>
        <v>0</v>
      </c>
      <c r="J281" s="112" t="s">
        <v>194</v>
      </c>
      <c r="K281" s="112"/>
      <c r="L281" s="112"/>
      <c r="M281" s="112"/>
      <c r="N281" s="112"/>
      <c r="O281" s="112"/>
      <c r="P281" s="112"/>
      <c r="Q281" s="112"/>
    </row>
    <row r="282" spans="1:17" ht="15">
      <c r="A282" s="64"/>
      <c r="B282" s="95"/>
      <c r="C282" s="70"/>
      <c r="D282" s="32">
        <v>2015</v>
      </c>
      <c r="E282" s="35">
        <f aca="true" t="shared" si="34" ref="E282:E288">F282+G282+H282+I282</f>
        <v>0</v>
      </c>
      <c r="F282" s="35">
        <v>0</v>
      </c>
      <c r="G282" s="35">
        <v>0</v>
      </c>
      <c r="H282" s="35">
        <v>0</v>
      </c>
      <c r="I282" s="35">
        <v>0</v>
      </c>
      <c r="J282" s="112" t="s">
        <v>145</v>
      </c>
      <c r="K282" s="112"/>
      <c r="L282" s="112"/>
      <c r="M282" s="112"/>
      <c r="N282" s="112"/>
      <c r="O282" s="112"/>
      <c r="P282" s="112"/>
      <c r="Q282" s="112"/>
    </row>
    <row r="283" spans="1:17" ht="15">
      <c r="A283" s="64"/>
      <c r="B283" s="95"/>
      <c r="C283" s="70"/>
      <c r="D283" s="32">
        <v>2016</v>
      </c>
      <c r="E283" s="35">
        <f t="shared" si="34"/>
        <v>0.2144</v>
      </c>
      <c r="F283" s="35">
        <v>0</v>
      </c>
      <c r="G283" s="35">
        <v>0.2144</v>
      </c>
      <c r="H283" s="35">
        <v>0</v>
      </c>
      <c r="I283" s="35">
        <v>0</v>
      </c>
      <c r="J283" s="112" t="s">
        <v>195</v>
      </c>
      <c r="K283" s="112"/>
      <c r="L283" s="112"/>
      <c r="M283" s="112"/>
      <c r="N283" s="112"/>
      <c r="O283" s="112"/>
      <c r="P283" s="112"/>
      <c r="Q283" s="112"/>
    </row>
    <row r="284" spans="1:17" ht="15">
      <c r="A284" s="64"/>
      <c r="B284" s="95"/>
      <c r="C284" s="70"/>
      <c r="D284" s="32">
        <v>2017</v>
      </c>
      <c r="E284" s="35">
        <f t="shared" si="34"/>
        <v>0.2241</v>
      </c>
      <c r="F284" s="35">
        <v>0</v>
      </c>
      <c r="G284" s="35">
        <f>0.2213+0.0011+0.0007+0.001</f>
        <v>0.2241</v>
      </c>
      <c r="H284" s="35">
        <v>0</v>
      </c>
      <c r="I284" s="35">
        <v>0</v>
      </c>
      <c r="J284" s="112" t="s">
        <v>195</v>
      </c>
      <c r="K284" s="112"/>
      <c r="L284" s="112"/>
      <c r="M284" s="112"/>
      <c r="N284" s="112"/>
      <c r="O284" s="112"/>
      <c r="P284" s="112"/>
      <c r="Q284" s="112"/>
    </row>
    <row r="285" spans="1:17" ht="15">
      <c r="A285" s="64"/>
      <c r="B285" s="95"/>
      <c r="C285" s="70"/>
      <c r="D285" s="32">
        <v>2018</v>
      </c>
      <c r="E285" s="35">
        <f t="shared" si="34"/>
        <v>0.2578</v>
      </c>
      <c r="F285" s="35">
        <v>0</v>
      </c>
      <c r="G285" s="35">
        <f>0.2488+0.0028+0.0021+0.0041</f>
        <v>0.2578</v>
      </c>
      <c r="H285" s="35">
        <v>0</v>
      </c>
      <c r="I285" s="35">
        <v>0</v>
      </c>
      <c r="J285" s="112" t="s">
        <v>195</v>
      </c>
      <c r="K285" s="112"/>
      <c r="L285" s="112"/>
      <c r="M285" s="112"/>
      <c r="N285" s="112"/>
      <c r="O285" s="112"/>
      <c r="P285" s="112"/>
      <c r="Q285" s="112"/>
    </row>
    <row r="286" spans="1:17" ht="15">
      <c r="A286" s="64"/>
      <c r="B286" s="95"/>
      <c r="C286" s="70"/>
      <c r="D286" s="32">
        <v>2019</v>
      </c>
      <c r="E286" s="35">
        <f t="shared" si="34"/>
        <v>0.2794</v>
      </c>
      <c r="F286" s="35">
        <v>0</v>
      </c>
      <c r="G286" s="35">
        <f>0.2772+0.0012+0.0004+0.0006</f>
        <v>0.2794</v>
      </c>
      <c r="H286" s="35">
        <v>0</v>
      </c>
      <c r="I286" s="35">
        <v>0</v>
      </c>
      <c r="J286" s="112" t="s">
        <v>195</v>
      </c>
      <c r="K286" s="112"/>
      <c r="L286" s="112"/>
      <c r="M286" s="112"/>
      <c r="N286" s="112"/>
      <c r="O286" s="112"/>
      <c r="P286" s="112"/>
      <c r="Q286" s="112"/>
    </row>
    <row r="287" spans="1:17" ht="15">
      <c r="A287" s="64"/>
      <c r="B287" s="95"/>
      <c r="C287" s="70"/>
      <c r="D287" s="32">
        <v>2020</v>
      </c>
      <c r="E287" s="35">
        <f t="shared" si="34"/>
        <v>0.2923</v>
      </c>
      <c r="F287" s="35">
        <v>0</v>
      </c>
      <c r="G287" s="35">
        <v>0.2923</v>
      </c>
      <c r="H287" s="35">
        <v>0</v>
      </c>
      <c r="I287" s="35">
        <v>0</v>
      </c>
      <c r="J287" s="112" t="s">
        <v>195</v>
      </c>
      <c r="K287" s="112"/>
      <c r="L287" s="112"/>
      <c r="M287" s="112"/>
      <c r="N287" s="112"/>
      <c r="O287" s="112"/>
      <c r="P287" s="112"/>
      <c r="Q287" s="112"/>
    </row>
    <row r="288" spans="1:17" ht="75" customHeight="1">
      <c r="A288" s="65"/>
      <c r="B288" s="96"/>
      <c r="C288" s="71"/>
      <c r="D288" s="32">
        <v>2021</v>
      </c>
      <c r="E288" s="35">
        <f t="shared" si="34"/>
        <v>0.3126</v>
      </c>
      <c r="F288" s="35">
        <f>F287</f>
        <v>0</v>
      </c>
      <c r="G288" s="35">
        <v>0.3126</v>
      </c>
      <c r="H288" s="35">
        <f>H287</f>
        <v>0</v>
      </c>
      <c r="I288" s="35">
        <f>I287</f>
        <v>0</v>
      </c>
      <c r="J288" s="113" t="str">
        <f>J287</f>
        <v>не менее 90</v>
      </c>
      <c r="K288" s="114"/>
      <c r="L288" s="114"/>
      <c r="M288" s="114"/>
      <c r="N288" s="114"/>
      <c r="O288" s="114"/>
      <c r="P288" s="114"/>
      <c r="Q288" s="115"/>
    </row>
    <row r="289" spans="1:17" s="48" customFormat="1" ht="14.25" customHeight="1">
      <c r="A289" s="129" t="s">
        <v>192</v>
      </c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</row>
    <row r="290" spans="1:17" ht="15">
      <c r="A290" s="89"/>
      <c r="B290" s="89"/>
      <c r="C290" s="89"/>
      <c r="D290" s="42" t="s">
        <v>19</v>
      </c>
      <c r="E290" s="54">
        <f>E291+E292+E293+E294+E295+E296+E297</f>
        <v>36345.53460921</v>
      </c>
      <c r="F290" s="54">
        <f>F291+F292+F293+F294+F295+F296+F297</f>
        <v>10871.846763170002</v>
      </c>
      <c r="G290" s="54">
        <f>G291+G292+G293+G294+G295+G296+G297</f>
        <v>25468.087346040003</v>
      </c>
      <c r="H290" s="58">
        <f>H291+H292+H293+H294+H295+H296+H297</f>
        <v>5.6005</v>
      </c>
      <c r="I290" s="58">
        <f>I291+I292+I293+I294+I295+I296+I297</f>
        <v>0</v>
      </c>
      <c r="J290" s="90" t="s">
        <v>145</v>
      </c>
      <c r="K290" s="90"/>
      <c r="L290" s="90"/>
      <c r="M290" s="90"/>
      <c r="N290" s="90"/>
      <c r="O290" s="90"/>
      <c r="P290" s="90"/>
      <c r="Q290" s="90"/>
    </row>
    <row r="291" spans="1:17" ht="15">
      <c r="A291" s="89"/>
      <c r="B291" s="89"/>
      <c r="C291" s="89"/>
      <c r="D291" s="32">
        <v>2015</v>
      </c>
      <c r="E291" s="52">
        <f>F291+G291+H291+I291</f>
        <v>4201.319</v>
      </c>
      <c r="F291" s="50">
        <f aca="true" t="shared" si="35" ref="F291:I297">F23+F31+F39+F47+F55+F63+F71+F79+F87+F95+F103+F111+F119+F127+F135+F143+F151+F159+F167+F175+F183+F226+F234+F242+F250+F258+F266+F274+F282+F191+F199+F207+F215</f>
        <v>1268.7803000000001</v>
      </c>
      <c r="G291" s="50">
        <f t="shared" si="35"/>
        <v>2932.5387</v>
      </c>
      <c r="H291" s="59">
        <f t="shared" si="35"/>
        <v>0</v>
      </c>
      <c r="I291" s="59">
        <f t="shared" si="35"/>
        <v>0</v>
      </c>
      <c r="J291" s="90"/>
      <c r="K291" s="90"/>
      <c r="L291" s="90"/>
      <c r="M291" s="90"/>
      <c r="N291" s="90"/>
      <c r="O291" s="90"/>
      <c r="P291" s="90"/>
      <c r="Q291" s="90"/>
    </row>
    <row r="292" spans="1:17" ht="15">
      <c r="A292" s="89"/>
      <c r="B292" s="89"/>
      <c r="C292" s="89"/>
      <c r="D292" s="32">
        <v>2016</v>
      </c>
      <c r="E292" s="52">
        <f aca="true" t="shared" si="36" ref="E292:E297">F292+G292+H292+I292</f>
        <v>4359.158427</v>
      </c>
      <c r="F292" s="50">
        <f t="shared" si="35"/>
        <v>1279.7122270000002</v>
      </c>
      <c r="G292" s="50">
        <f t="shared" si="35"/>
        <v>3076.0429000000004</v>
      </c>
      <c r="H292" s="59">
        <f t="shared" si="35"/>
        <v>3.4033</v>
      </c>
      <c r="I292" s="59">
        <f t="shared" si="35"/>
        <v>0</v>
      </c>
      <c r="J292" s="90"/>
      <c r="K292" s="90"/>
      <c r="L292" s="90"/>
      <c r="M292" s="90"/>
      <c r="N292" s="90"/>
      <c r="O292" s="90"/>
      <c r="P292" s="90"/>
      <c r="Q292" s="90"/>
    </row>
    <row r="293" spans="1:17" ht="15">
      <c r="A293" s="89"/>
      <c r="B293" s="89"/>
      <c r="C293" s="89"/>
      <c r="D293" s="32">
        <v>2017</v>
      </c>
      <c r="E293" s="52">
        <f t="shared" si="36"/>
        <v>4607.345010090001</v>
      </c>
      <c r="F293" s="50">
        <f t="shared" si="35"/>
        <v>1396.8102456900003</v>
      </c>
      <c r="G293" s="50">
        <f t="shared" si="35"/>
        <v>3210.5347644000003</v>
      </c>
      <c r="H293" s="59">
        <f t="shared" si="35"/>
        <v>0</v>
      </c>
      <c r="I293" s="59">
        <f t="shared" si="35"/>
        <v>0</v>
      </c>
      <c r="J293" s="90"/>
      <c r="K293" s="90"/>
      <c r="L293" s="90"/>
      <c r="M293" s="90"/>
      <c r="N293" s="90"/>
      <c r="O293" s="90"/>
      <c r="P293" s="90"/>
      <c r="Q293" s="90"/>
    </row>
    <row r="294" spans="1:17" ht="15">
      <c r="A294" s="89"/>
      <c r="B294" s="89"/>
      <c r="C294" s="89"/>
      <c r="D294" s="32">
        <v>2018</v>
      </c>
      <c r="E294" s="52">
        <f t="shared" si="36"/>
        <v>5386.69625911</v>
      </c>
      <c r="F294" s="50">
        <f t="shared" si="35"/>
        <v>1567.0739078400002</v>
      </c>
      <c r="G294" s="50">
        <f t="shared" si="35"/>
        <v>3818.4723512699998</v>
      </c>
      <c r="H294" s="59">
        <f t="shared" si="35"/>
        <v>1.15</v>
      </c>
      <c r="I294" s="59">
        <f t="shared" si="35"/>
        <v>0</v>
      </c>
      <c r="J294" s="90"/>
      <c r="K294" s="90"/>
      <c r="L294" s="90"/>
      <c r="M294" s="90"/>
      <c r="N294" s="90"/>
      <c r="O294" s="90"/>
      <c r="P294" s="90"/>
      <c r="Q294" s="90"/>
    </row>
    <row r="295" spans="1:17" ht="15">
      <c r="A295" s="89"/>
      <c r="B295" s="89"/>
      <c r="C295" s="89"/>
      <c r="D295" s="32">
        <v>2019</v>
      </c>
      <c r="E295" s="52">
        <f t="shared" si="36"/>
        <v>5818.584602009999</v>
      </c>
      <c r="F295" s="50">
        <f t="shared" si="35"/>
        <v>1715.75567164</v>
      </c>
      <c r="G295" s="50">
        <f t="shared" si="35"/>
        <v>4101.7817303699985</v>
      </c>
      <c r="H295" s="59">
        <f t="shared" si="35"/>
        <v>1.0472</v>
      </c>
      <c r="I295" s="59">
        <f t="shared" si="35"/>
        <v>0</v>
      </c>
      <c r="J295" s="90"/>
      <c r="K295" s="90"/>
      <c r="L295" s="90"/>
      <c r="M295" s="90"/>
      <c r="N295" s="90"/>
      <c r="O295" s="90"/>
      <c r="P295" s="90"/>
      <c r="Q295" s="90"/>
    </row>
    <row r="296" spans="1:17" ht="15">
      <c r="A296" s="89"/>
      <c r="B296" s="89"/>
      <c r="C296" s="89"/>
      <c r="D296" s="32">
        <v>2020</v>
      </c>
      <c r="E296" s="52">
        <f t="shared" si="36"/>
        <v>5839.245681</v>
      </c>
      <c r="F296" s="50">
        <f t="shared" si="35"/>
        <v>1805.2010810000002</v>
      </c>
      <c r="G296" s="50">
        <f t="shared" si="35"/>
        <v>4034.0445999999997</v>
      </c>
      <c r="H296" s="59">
        <f t="shared" si="35"/>
        <v>0</v>
      </c>
      <c r="I296" s="59">
        <f t="shared" si="35"/>
        <v>0</v>
      </c>
      <c r="J296" s="90"/>
      <c r="K296" s="90"/>
      <c r="L296" s="90"/>
      <c r="M296" s="90"/>
      <c r="N296" s="90"/>
      <c r="O296" s="90"/>
      <c r="P296" s="90"/>
      <c r="Q296" s="90"/>
    </row>
    <row r="297" spans="1:17" ht="15">
      <c r="A297" s="89"/>
      <c r="B297" s="89"/>
      <c r="C297" s="89"/>
      <c r="D297" s="57">
        <v>2021</v>
      </c>
      <c r="E297" s="52">
        <f t="shared" si="36"/>
        <v>6133.18563</v>
      </c>
      <c r="F297" s="50">
        <f t="shared" si="35"/>
        <v>1838.51333</v>
      </c>
      <c r="G297" s="50">
        <f t="shared" si="35"/>
        <v>4294.6723</v>
      </c>
      <c r="H297" s="59">
        <f t="shared" si="35"/>
        <v>0</v>
      </c>
      <c r="I297" s="59">
        <f t="shared" si="35"/>
        <v>0</v>
      </c>
      <c r="J297" s="90"/>
      <c r="K297" s="90"/>
      <c r="L297" s="90"/>
      <c r="M297" s="90"/>
      <c r="N297" s="90"/>
      <c r="O297" s="90"/>
      <c r="P297" s="90"/>
      <c r="Q297" s="90"/>
    </row>
    <row r="301" ht="15">
      <c r="J301" s="49"/>
    </row>
    <row r="302" ht="15">
      <c r="J302" s="49"/>
    </row>
    <row r="303" ht="15">
      <c r="G303" s="53"/>
    </row>
    <row r="311" ht="15">
      <c r="J311" s="49"/>
    </row>
  </sheetData>
  <sheetProtection/>
  <mergeCells count="488">
    <mergeCell ref="O213:Q213"/>
    <mergeCell ref="O207:Q207"/>
    <mergeCell ref="O208:Q208"/>
    <mergeCell ref="O209:Q209"/>
    <mergeCell ref="O210:Q210"/>
    <mergeCell ref="O211:Q211"/>
    <mergeCell ref="O212:Q212"/>
    <mergeCell ref="B273:B280"/>
    <mergeCell ref="C273:C280"/>
    <mergeCell ref="J280:Q280"/>
    <mergeCell ref="A241:A248"/>
    <mergeCell ref="B241:B248"/>
    <mergeCell ref="C241:C248"/>
    <mergeCell ref="C249:C256"/>
    <mergeCell ref="J256:Q256"/>
    <mergeCell ref="J249:Q249"/>
    <mergeCell ref="J255:Q255"/>
    <mergeCell ref="A281:A288"/>
    <mergeCell ref="B281:B288"/>
    <mergeCell ref="C281:C288"/>
    <mergeCell ref="J288:Q288"/>
    <mergeCell ref="J286:Q286"/>
    <mergeCell ref="J269:Q269"/>
    <mergeCell ref="J283:Q283"/>
    <mergeCell ref="J284:Q284"/>
    <mergeCell ref="A273:A280"/>
    <mergeCell ref="J226:Q226"/>
    <mergeCell ref="J227:Q227"/>
    <mergeCell ref="J228:Q228"/>
    <mergeCell ref="J230:Q230"/>
    <mergeCell ref="J231:Q231"/>
    <mergeCell ref="J250:Q250"/>
    <mergeCell ref="A166:A173"/>
    <mergeCell ref="B166:B173"/>
    <mergeCell ref="C166:C173"/>
    <mergeCell ref="J173:Q173"/>
    <mergeCell ref="B150:B157"/>
    <mergeCell ref="C182:C189"/>
    <mergeCell ref="J189:Q189"/>
    <mergeCell ref="B182:B189"/>
    <mergeCell ref="J186:Q186"/>
    <mergeCell ref="J185:Q185"/>
    <mergeCell ref="C158:C165"/>
    <mergeCell ref="J158:Q165"/>
    <mergeCell ref="A134:A141"/>
    <mergeCell ref="B134:B141"/>
    <mergeCell ref="B142:B149"/>
    <mergeCell ref="C142:C149"/>
    <mergeCell ref="J141:K141"/>
    <mergeCell ref="L141:M141"/>
    <mergeCell ref="J139:K139"/>
    <mergeCell ref="J142:Q142"/>
    <mergeCell ref="C118:C125"/>
    <mergeCell ref="L114:N114"/>
    <mergeCell ref="J110:K110"/>
    <mergeCell ref="J119:K119"/>
    <mergeCell ref="L119:N119"/>
    <mergeCell ref="L120:N120"/>
    <mergeCell ref="J117:K117"/>
    <mergeCell ref="L117:N117"/>
    <mergeCell ref="J121:K121"/>
    <mergeCell ref="L124:N124"/>
    <mergeCell ref="J76:M76"/>
    <mergeCell ref="N76:Q76"/>
    <mergeCell ref="N75:Q75"/>
    <mergeCell ref="J73:M73"/>
    <mergeCell ref="O118:Q118"/>
    <mergeCell ref="L115:N115"/>
    <mergeCell ref="J109:Q109"/>
    <mergeCell ref="L116:N116"/>
    <mergeCell ref="J74:M74"/>
    <mergeCell ref="L118:N118"/>
    <mergeCell ref="J55:L55"/>
    <mergeCell ref="J56:L56"/>
    <mergeCell ref="M58:N58"/>
    <mergeCell ref="M59:N59"/>
    <mergeCell ref="A70:A77"/>
    <mergeCell ref="B70:B77"/>
    <mergeCell ref="C70:C77"/>
    <mergeCell ref="J77:M77"/>
    <mergeCell ref="N77:Q77"/>
    <mergeCell ref="J75:M75"/>
    <mergeCell ref="B54:B61"/>
    <mergeCell ref="C54:C61"/>
    <mergeCell ref="J61:L61"/>
    <mergeCell ref="M61:N61"/>
    <mergeCell ref="A62:A69"/>
    <mergeCell ref="J62:Q69"/>
    <mergeCell ref="C62:C69"/>
    <mergeCell ref="B62:B69"/>
    <mergeCell ref="M55:N55"/>
    <mergeCell ref="J54:L54"/>
    <mergeCell ref="N22:O22"/>
    <mergeCell ref="A46:A53"/>
    <mergeCell ref="B46:B53"/>
    <mergeCell ref="C46:C53"/>
    <mergeCell ref="J46:Q53"/>
    <mergeCell ref="A22:A29"/>
    <mergeCell ref="B38:B45"/>
    <mergeCell ref="J32:L32"/>
    <mergeCell ref="M35:Q35"/>
    <mergeCell ref="J36:L36"/>
    <mergeCell ref="A289:Q289"/>
    <mergeCell ref="B22:B29"/>
    <mergeCell ref="C22:C29"/>
    <mergeCell ref="J29:M29"/>
    <mergeCell ref="N29:O29"/>
    <mergeCell ref="P29:Q29"/>
    <mergeCell ref="C38:C45"/>
    <mergeCell ref="J28:M28"/>
    <mergeCell ref="P25:Q25"/>
    <mergeCell ref="J279:Q279"/>
    <mergeCell ref="J285:Q285"/>
    <mergeCell ref="J287:Q287"/>
    <mergeCell ref="J275:Q275"/>
    <mergeCell ref="J281:Q281"/>
    <mergeCell ref="J282:Q282"/>
    <mergeCell ref="J271:Q271"/>
    <mergeCell ref="J273:Q273"/>
    <mergeCell ref="J277:Q277"/>
    <mergeCell ref="J278:Q278"/>
    <mergeCell ref="J276:Q276"/>
    <mergeCell ref="J260:Q260"/>
    <mergeCell ref="J261:Q261"/>
    <mergeCell ref="J262:Q262"/>
    <mergeCell ref="J264:Q264"/>
    <mergeCell ref="J267:Q267"/>
    <mergeCell ref="J274:Q274"/>
    <mergeCell ref="J268:Q268"/>
    <mergeCell ref="J272:Q272"/>
    <mergeCell ref="J265:Q265"/>
    <mergeCell ref="C134:C141"/>
    <mergeCell ref="N141:O141"/>
    <mergeCell ref="P141:Q141"/>
    <mergeCell ref="N137:O137"/>
    <mergeCell ref="J266:Q266"/>
    <mergeCell ref="J259:Q259"/>
    <mergeCell ref="J258:Q258"/>
    <mergeCell ref="J244:Q244"/>
    <mergeCell ref="J245:Q245"/>
    <mergeCell ref="A223:Q223"/>
    <mergeCell ref="J247:Q247"/>
    <mergeCell ref="J246:Q246"/>
    <mergeCell ref="J243:Q243"/>
    <mergeCell ref="L121:N121"/>
    <mergeCell ref="L126:N126"/>
    <mergeCell ref="J238:Q238"/>
    <mergeCell ref="J239:Q239"/>
    <mergeCell ref="J241:Q241"/>
    <mergeCell ref="O121:Q121"/>
    <mergeCell ref="J225:Q225"/>
    <mergeCell ref="J150:Q157"/>
    <mergeCell ref="A158:A165"/>
    <mergeCell ref="B158:B165"/>
    <mergeCell ref="L122:N122"/>
    <mergeCell ref="L123:N123"/>
    <mergeCell ref="O123:Q123"/>
    <mergeCell ref="O126:Q126"/>
    <mergeCell ref="J122:K122"/>
    <mergeCell ref="J125:K125"/>
    <mergeCell ref="O127:Q127"/>
    <mergeCell ref="O119:Q119"/>
    <mergeCell ref="O120:Q120"/>
    <mergeCell ref="N101:Q101"/>
    <mergeCell ref="J111:K111"/>
    <mergeCell ref="O129:Q129"/>
    <mergeCell ref="O122:Q122"/>
    <mergeCell ref="J112:K112"/>
    <mergeCell ref="O117:Q117"/>
    <mergeCell ref="J127:K127"/>
    <mergeCell ref="J120:K120"/>
    <mergeCell ref="J96:M96"/>
    <mergeCell ref="N96:Q96"/>
    <mergeCell ref="J87:Q87"/>
    <mergeCell ref="J89:Q89"/>
    <mergeCell ref="L112:N112"/>
    <mergeCell ref="J101:M101"/>
    <mergeCell ref="J103:Q103"/>
    <mergeCell ref="N98:Q98"/>
    <mergeCell ref="N94:Q94"/>
    <mergeCell ref="L111:N111"/>
    <mergeCell ref="A257:A264"/>
    <mergeCell ref="J242:Q242"/>
    <mergeCell ref="J253:Q253"/>
    <mergeCell ref="J240:Q240"/>
    <mergeCell ref="J233:Q233"/>
    <mergeCell ref="J234:Q234"/>
    <mergeCell ref="J235:Q235"/>
    <mergeCell ref="J248:Q248"/>
    <mergeCell ref="A249:A256"/>
    <mergeCell ref="B249:B256"/>
    <mergeCell ref="J236:Q236"/>
    <mergeCell ref="A182:A189"/>
    <mergeCell ref="J254:Q254"/>
    <mergeCell ref="J229:Q229"/>
    <mergeCell ref="A233:A240"/>
    <mergeCell ref="B233:B240"/>
    <mergeCell ref="A225:A232"/>
    <mergeCell ref="B225:B232"/>
    <mergeCell ref="C225:C232"/>
    <mergeCell ref="J232:Q232"/>
    <mergeCell ref="B257:B264"/>
    <mergeCell ref="C257:C264"/>
    <mergeCell ref="J237:Q237"/>
    <mergeCell ref="J263:Q263"/>
    <mergeCell ref="A265:A272"/>
    <mergeCell ref="B265:B272"/>
    <mergeCell ref="C265:C272"/>
    <mergeCell ref="J257:Q257"/>
    <mergeCell ref="J251:Q251"/>
    <mergeCell ref="J252:Q252"/>
    <mergeCell ref="A142:A149"/>
    <mergeCell ref="A150:A157"/>
    <mergeCell ref="A174:A181"/>
    <mergeCell ref="B174:B181"/>
    <mergeCell ref="C174:C181"/>
    <mergeCell ref="C233:C240"/>
    <mergeCell ref="A190:A197"/>
    <mergeCell ref="A206:A213"/>
    <mergeCell ref="B206:B213"/>
    <mergeCell ref="C206:C213"/>
    <mergeCell ref="B15:B17"/>
    <mergeCell ref="E16:E17"/>
    <mergeCell ref="G16:G17"/>
    <mergeCell ref="A78:A85"/>
    <mergeCell ref="B78:B85"/>
    <mergeCell ref="C30:C37"/>
    <mergeCell ref="C15:C17"/>
    <mergeCell ref="D15:D17"/>
    <mergeCell ref="A38:A45"/>
    <mergeCell ref="A54:A61"/>
    <mergeCell ref="A94:A101"/>
    <mergeCell ref="B102:B109"/>
    <mergeCell ref="A118:A125"/>
    <mergeCell ref="A126:A133"/>
    <mergeCell ref="B126:B133"/>
    <mergeCell ref="C94:C101"/>
    <mergeCell ref="C102:C109"/>
    <mergeCell ref="B118:B125"/>
    <mergeCell ref="B94:B101"/>
    <mergeCell ref="C110:C117"/>
    <mergeCell ref="C78:C85"/>
    <mergeCell ref="J78:Q85"/>
    <mergeCell ref="A86:A93"/>
    <mergeCell ref="B86:B93"/>
    <mergeCell ref="C86:C93"/>
    <mergeCell ref="J93:Q93"/>
    <mergeCell ref="J92:Q92"/>
    <mergeCell ref="O57:Q57"/>
    <mergeCell ref="N74:Q74"/>
    <mergeCell ref="L130:N130"/>
    <mergeCell ref="L131:N131"/>
    <mergeCell ref="J114:K114"/>
    <mergeCell ref="J115:K115"/>
    <mergeCell ref="J104:Q104"/>
    <mergeCell ref="J129:K129"/>
    <mergeCell ref="O124:Q124"/>
    <mergeCell ref="L128:N128"/>
    <mergeCell ref="J108:Q108"/>
    <mergeCell ref="A102:A109"/>
    <mergeCell ref="J106:Q106"/>
    <mergeCell ref="J107:Q107"/>
    <mergeCell ref="L113:N113"/>
    <mergeCell ref="O111:Q111"/>
    <mergeCell ref="O112:Q112"/>
    <mergeCell ref="J113:K113"/>
    <mergeCell ref="B110:B117"/>
    <mergeCell ref="A110:A117"/>
    <mergeCell ref="C126:C133"/>
    <mergeCell ref="J131:K131"/>
    <mergeCell ref="P135:Q135"/>
    <mergeCell ref="N135:O135"/>
    <mergeCell ref="L133:N133"/>
    <mergeCell ref="N134:O134"/>
    <mergeCell ref="L129:N129"/>
    <mergeCell ref="J132:K132"/>
    <mergeCell ref="J126:K126"/>
    <mergeCell ref="O130:Q130"/>
    <mergeCell ref="J180:Q180"/>
    <mergeCell ref="J176:Q176"/>
    <mergeCell ref="J175:Q175"/>
    <mergeCell ref="J174:Q174"/>
    <mergeCell ref="A224:Q224"/>
    <mergeCell ref="L125:N125"/>
    <mergeCell ref="J133:K133"/>
    <mergeCell ref="J149:Q149"/>
    <mergeCell ref="C150:C157"/>
    <mergeCell ref="J181:Q181"/>
    <mergeCell ref="J177:Q177"/>
    <mergeCell ref="J178:Q178"/>
    <mergeCell ref="J179:Q179"/>
    <mergeCell ref="J169:Q169"/>
    <mergeCell ref="J170:Q170"/>
    <mergeCell ref="J166:Q166"/>
    <mergeCell ref="J171:Q171"/>
    <mergeCell ref="J172:Q172"/>
    <mergeCell ref="J146:Q146"/>
    <mergeCell ref="J138:K138"/>
    <mergeCell ref="J143:Q143"/>
    <mergeCell ref="N140:O140"/>
    <mergeCell ref="P138:Q138"/>
    <mergeCell ref="L139:M139"/>
    <mergeCell ref="J183:Q183"/>
    <mergeCell ref="O132:Q132"/>
    <mergeCell ref="L134:M134"/>
    <mergeCell ref="L135:M135"/>
    <mergeCell ref="J168:Q168"/>
    <mergeCell ref="J167:Q167"/>
    <mergeCell ref="J145:Q145"/>
    <mergeCell ref="J148:Q148"/>
    <mergeCell ref="L140:M140"/>
    <mergeCell ref="P139:Q139"/>
    <mergeCell ref="J147:Q147"/>
    <mergeCell ref="P134:Q134"/>
    <mergeCell ref="N136:O136"/>
    <mergeCell ref="N138:O138"/>
    <mergeCell ref="O133:Q133"/>
    <mergeCell ref="J135:K135"/>
    <mergeCell ref="J144:Q144"/>
    <mergeCell ref="L138:M138"/>
    <mergeCell ref="J137:K137"/>
    <mergeCell ref="L137:M137"/>
    <mergeCell ref="P140:Q140"/>
    <mergeCell ref="J140:K140"/>
    <mergeCell ref="J128:K128"/>
    <mergeCell ref="J124:K124"/>
    <mergeCell ref="L136:M136"/>
    <mergeCell ref="J136:K136"/>
    <mergeCell ref="P136:Q136"/>
    <mergeCell ref="O128:Q128"/>
    <mergeCell ref="J116:K116"/>
    <mergeCell ref="J123:K123"/>
    <mergeCell ref="O116:Q116"/>
    <mergeCell ref="J182:Q182"/>
    <mergeCell ref="L127:N127"/>
    <mergeCell ref="L132:N132"/>
    <mergeCell ref="J130:K130"/>
    <mergeCell ref="N139:O139"/>
    <mergeCell ref="J134:K134"/>
    <mergeCell ref="O131:Q131"/>
    <mergeCell ref="N70:Q70"/>
    <mergeCell ref="O61:Q61"/>
    <mergeCell ref="J187:Q187"/>
    <mergeCell ref="O113:Q113"/>
    <mergeCell ref="O114:Q114"/>
    <mergeCell ref="O115:Q115"/>
    <mergeCell ref="O110:Q110"/>
    <mergeCell ref="O125:Q125"/>
    <mergeCell ref="J184:Q184"/>
    <mergeCell ref="P137:Q137"/>
    <mergeCell ref="J105:Q105"/>
    <mergeCell ref="J95:M95"/>
    <mergeCell ref="J60:L60"/>
    <mergeCell ref="O54:Q54"/>
    <mergeCell ref="J86:Q86"/>
    <mergeCell ref="J88:Q88"/>
    <mergeCell ref="J102:Q102"/>
    <mergeCell ref="O56:Q56"/>
    <mergeCell ref="M56:N56"/>
    <mergeCell ref="J57:L57"/>
    <mergeCell ref="N71:Q71"/>
    <mergeCell ref="J58:L58"/>
    <mergeCell ref="M60:N60"/>
    <mergeCell ref="M54:N54"/>
    <mergeCell ref="M57:N57"/>
    <mergeCell ref="O55:Q55"/>
    <mergeCell ref="J59:L59"/>
    <mergeCell ref="O60:Q60"/>
    <mergeCell ref="O58:Q58"/>
    <mergeCell ref="O59:Q59"/>
    <mergeCell ref="N72:Q72"/>
    <mergeCell ref="N73:Q73"/>
    <mergeCell ref="E15:I15"/>
    <mergeCell ref="F16:F17"/>
    <mergeCell ref="J26:M26"/>
    <mergeCell ref="J27:M27"/>
    <mergeCell ref="M30:Q30"/>
    <mergeCell ref="N23:O23"/>
    <mergeCell ref="P22:Q22"/>
    <mergeCell ref="P23:Q23"/>
    <mergeCell ref="J25:M25"/>
    <mergeCell ref="H16:H17"/>
    <mergeCell ref="I16:I17"/>
    <mergeCell ref="J23:M23"/>
    <mergeCell ref="M32:Q32"/>
    <mergeCell ref="P26:Q26"/>
    <mergeCell ref="N25:O25"/>
    <mergeCell ref="J18:Q18"/>
    <mergeCell ref="A19:Q19"/>
    <mergeCell ref="A15:A17"/>
    <mergeCell ref="N27:O27"/>
    <mergeCell ref="A20:Q20"/>
    <mergeCell ref="A21:Q21"/>
    <mergeCell ref="A30:A37"/>
    <mergeCell ref="B30:B37"/>
    <mergeCell ref="M37:Q37"/>
    <mergeCell ref="J30:L30"/>
    <mergeCell ref="J37:L37"/>
    <mergeCell ref="J35:L35"/>
    <mergeCell ref="P24:Q24"/>
    <mergeCell ref="J22:M22"/>
    <mergeCell ref="J31:L31"/>
    <mergeCell ref="M36:Q36"/>
    <mergeCell ref="M31:Q31"/>
    <mergeCell ref="P27:Q27"/>
    <mergeCell ref="J33:L33"/>
    <mergeCell ref="J34:L34"/>
    <mergeCell ref="P28:Q28"/>
    <mergeCell ref="N24:O24"/>
    <mergeCell ref="N26:O26"/>
    <mergeCell ref="A290:C297"/>
    <mergeCell ref="J290:Q297"/>
    <mergeCell ref="J270:Q270"/>
    <mergeCell ref="J91:Q91"/>
    <mergeCell ref="A222:Q222"/>
    <mergeCell ref="J24:M24"/>
    <mergeCell ref="J90:Q90"/>
    <mergeCell ref="N95:Q95"/>
    <mergeCell ref="M33:Q33"/>
    <mergeCell ref="M34:Q34"/>
    <mergeCell ref="A11:O11"/>
    <mergeCell ref="A12:O12"/>
    <mergeCell ref="A13:O13"/>
    <mergeCell ref="J118:K118"/>
    <mergeCell ref="J94:M94"/>
    <mergeCell ref="J72:M72"/>
    <mergeCell ref="N28:O28"/>
    <mergeCell ref="L110:N110"/>
    <mergeCell ref="J98:M98"/>
    <mergeCell ref="J15:Q17"/>
    <mergeCell ref="J196:Q196"/>
    <mergeCell ref="J188:Q188"/>
    <mergeCell ref="N99:Q99"/>
    <mergeCell ref="J70:M70"/>
    <mergeCell ref="J71:M71"/>
    <mergeCell ref="J100:M100"/>
    <mergeCell ref="N100:Q100"/>
    <mergeCell ref="J97:M97"/>
    <mergeCell ref="N97:Q97"/>
    <mergeCell ref="J99:M99"/>
    <mergeCell ref="J204:Q204"/>
    <mergeCell ref="J197:Q197"/>
    <mergeCell ref="B190:B197"/>
    <mergeCell ref="C190:C197"/>
    <mergeCell ref="J190:Q190"/>
    <mergeCell ref="J191:Q191"/>
    <mergeCell ref="J192:Q192"/>
    <mergeCell ref="J193:Q193"/>
    <mergeCell ref="J194:Q194"/>
    <mergeCell ref="J195:Q195"/>
    <mergeCell ref="J205:Q205"/>
    <mergeCell ref="A198:A205"/>
    <mergeCell ref="B198:B205"/>
    <mergeCell ref="C198:C205"/>
    <mergeCell ref="J198:Q198"/>
    <mergeCell ref="J199:Q199"/>
    <mergeCell ref="J200:Q200"/>
    <mergeCell ref="J201:Q201"/>
    <mergeCell ref="J202:Q202"/>
    <mergeCell ref="J203:Q203"/>
    <mergeCell ref="J219:Q219"/>
    <mergeCell ref="J206:K206"/>
    <mergeCell ref="J207:K207"/>
    <mergeCell ref="J208:K208"/>
    <mergeCell ref="J209:K209"/>
    <mergeCell ref="J210:K210"/>
    <mergeCell ref="M206:N206"/>
    <mergeCell ref="O206:Q206"/>
    <mergeCell ref="M207:N207"/>
    <mergeCell ref="M212:N212"/>
    <mergeCell ref="A214:A221"/>
    <mergeCell ref="B214:B221"/>
    <mergeCell ref="C214:C221"/>
    <mergeCell ref="J214:Q214"/>
    <mergeCell ref="J215:Q215"/>
    <mergeCell ref="J216:Q216"/>
    <mergeCell ref="J220:Q220"/>
    <mergeCell ref="J221:Q221"/>
    <mergeCell ref="J217:Q217"/>
    <mergeCell ref="J218:Q218"/>
    <mergeCell ref="J211:K211"/>
    <mergeCell ref="J212:K212"/>
    <mergeCell ref="J213:K213"/>
    <mergeCell ref="M208:N208"/>
    <mergeCell ref="M209:N209"/>
    <mergeCell ref="M210:N210"/>
    <mergeCell ref="M211:N211"/>
    <mergeCell ref="M213:N213"/>
  </mergeCells>
  <printOptions/>
  <pageMargins left="0" right="0" top="0.15748031496062992" bottom="0.15748031496062992" header="0.1968503937007874" footer="0.15748031496062992"/>
  <pageSetup horizontalDpi="600" verticalDpi="600" orientation="landscape" paperSize="9" scale="63" r:id="rId1"/>
  <rowBreaks count="6" manualBreakCount="6">
    <brk id="69" max="16" man="1"/>
    <brk id="101" max="16" man="1"/>
    <brk id="133" max="16" man="1"/>
    <brk id="173" max="16" man="1"/>
    <brk id="209" max="16" man="1"/>
    <brk id="25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111</v>
      </c>
      <c r="L2" s="3"/>
    </row>
    <row r="3" spans="10:12" ht="15">
      <c r="J3" s="15" t="s">
        <v>112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36" t="s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5">
      <c r="A8" s="136" t="s">
        <v>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ht="15">
      <c r="A9" s="136" t="s">
        <v>118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3" ht="15">
      <c r="A10" s="136" t="s">
        <v>119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</row>
    <row r="11" spans="1:13" ht="15">
      <c r="A11" s="136" t="s">
        <v>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37"/>
      <c r="B13" s="137"/>
      <c r="C13" s="138" t="s">
        <v>23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15">
      <c r="A14" s="137"/>
      <c r="B14" s="137"/>
      <c r="C14" s="135" t="s">
        <v>4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3" ht="75" customHeight="1">
      <c r="A15" s="135" t="s">
        <v>5</v>
      </c>
      <c r="B15" s="135" t="s">
        <v>20</v>
      </c>
      <c r="C15" s="135" t="s">
        <v>6</v>
      </c>
      <c r="D15" s="135" t="s">
        <v>7</v>
      </c>
      <c r="E15" s="135" t="s">
        <v>21</v>
      </c>
      <c r="F15" s="135" t="s">
        <v>8</v>
      </c>
      <c r="G15" s="135" t="s">
        <v>9</v>
      </c>
      <c r="H15" s="135" t="s">
        <v>10</v>
      </c>
      <c r="I15" s="135"/>
      <c r="J15" s="135"/>
      <c r="K15" s="135"/>
      <c r="L15" s="135"/>
      <c r="M15" s="135" t="s">
        <v>11</v>
      </c>
    </row>
    <row r="16" spans="1:13" ht="15">
      <c r="A16" s="135"/>
      <c r="B16" s="135"/>
      <c r="C16" s="135"/>
      <c r="D16" s="135"/>
      <c r="E16" s="135"/>
      <c r="F16" s="135"/>
      <c r="G16" s="135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35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39" t="s">
        <v>34</v>
      </c>
      <c r="B18" s="142" t="s">
        <v>35</v>
      </c>
      <c r="C18" s="23"/>
      <c r="D18" s="23"/>
      <c r="E18" s="23"/>
      <c r="F18" s="20"/>
      <c r="G18" s="145" t="s">
        <v>113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40"/>
      <c r="B19" s="143"/>
      <c r="C19" s="23"/>
      <c r="D19" s="23"/>
      <c r="E19" s="23"/>
      <c r="F19" s="23"/>
      <c r="G19" s="146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40"/>
      <c r="B20" s="143"/>
      <c r="C20" s="23"/>
      <c r="D20" s="23"/>
      <c r="E20" s="23"/>
      <c r="F20" s="23"/>
      <c r="G20" s="146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40"/>
      <c r="B21" s="143"/>
      <c r="C21" s="23"/>
      <c r="D21" s="23"/>
      <c r="E21" s="23"/>
      <c r="F21" s="23"/>
      <c r="G21" s="146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40"/>
      <c r="B22" s="143"/>
      <c r="C22" s="23"/>
      <c r="D22" s="23"/>
      <c r="E22" s="23"/>
      <c r="F22" s="23"/>
      <c r="G22" s="146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41"/>
      <c r="B23" s="144"/>
      <c r="C23" s="23"/>
      <c r="D23" s="23"/>
      <c r="E23" s="23"/>
      <c r="F23" s="23"/>
      <c r="G23" s="147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113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39" t="s">
        <v>42</v>
      </c>
      <c r="B25" s="148" t="s">
        <v>43</v>
      </c>
      <c r="C25" s="23"/>
      <c r="D25" s="23"/>
      <c r="E25" s="23"/>
      <c r="F25" s="23"/>
      <c r="G25" s="145" t="s">
        <v>114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40"/>
      <c r="B26" s="149"/>
      <c r="C26" s="23"/>
      <c r="D26" s="23"/>
      <c r="E26" s="23"/>
      <c r="F26" s="23"/>
      <c r="G26" s="146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40"/>
      <c r="B27" s="149"/>
      <c r="C27" s="23"/>
      <c r="D27" s="23"/>
      <c r="E27" s="23"/>
      <c r="F27" s="23"/>
      <c r="G27" s="146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41"/>
      <c r="B28" s="150"/>
      <c r="C28" s="23"/>
      <c r="D28" s="23"/>
      <c r="E28" s="23"/>
      <c r="F28" s="23"/>
      <c r="G28" s="147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39" t="s">
        <v>44</v>
      </c>
      <c r="B29" s="148" t="s">
        <v>45</v>
      </c>
      <c r="C29" s="23"/>
      <c r="D29" s="23"/>
      <c r="E29" s="23"/>
      <c r="F29" s="23"/>
      <c r="G29" s="151" t="s">
        <v>113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41"/>
      <c r="B30" s="150"/>
      <c r="C30" s="23"/>
      <c r="D30" s="23"/>
      <c r="E30" s="23"/>
      <c r="F30" s="23"/>
      <c r="G30" s="152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39" t="s">
        <v>48</v>
      </c>
      <c r="B31" s="148" t="s">
        <v>49</v>
      </c>
      <c r="C31" s="23"/>
      <c r="D31" s="23"/>
      <c r="E31" s="23"/>
      <c r="F31" s="23"/>
      <c r="G31" s="145" t="s">
        <v>114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41"/>
      <c r="B32" s="150"/>
      <c r="C32" s="23"/>
      <c r="D32" s="23"/>
      <c r="E32" s="23"/>
      <c r="F32" s="23"/>
      <c r="G32" s="147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113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113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39" t="s">
        <v>57</v>
      </c>
      <c r="B35" s="148" t="s">
        <v>58</v>
      </c>
      <c r="C35" s="23"/>
      <c r="D35" s="23"/>
      <c r="E35" s="23"/>
      <c r="F35" s="23"/>
      <c r="G35" s="151" t="s">
        <v>113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40"/>
      <c r="B36" s="149"/>
      <c r="C36" s="23"/>
      <c r="D36" s="23"/>
      <c r="E36" s="23"/>
      <c r="F36" s="23"/>
      <c r="G36" s="153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41"/>
      <c r="B37" s="150"/>
      <c r="C37" s="23"/>
      <c r="D37" s="23"/>
      <c r="E37" s="23"/>
      <c r="F37" s="23"/>
      <c r="G37" s="152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39" t="s">
        <v>61</v>
      </c>
      <c r="B38" s="148" t="s">
        <v>62</v>
      </c>
      <c r="C38" s="23"/>
      <c r="D38" s="23"/>
      <c r="E38" s="23"/>
      <c r="F38" s="23"/>
      <c r="G38" s="145" t="s">
        <v>113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41"/>
      <c r="B39" s="150"/>
      <c r="C39" s="23"/>
      <c r="D39" s="23"/>
      <c r="E39" s="23"/>
      <c r="F39" s="23"/>
      <c r="G39" s="147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39" t="s">
        <v>63</v>
      </c>
      <c r="B40" s="148" t="s">
        <v>64</v>
      </c>
      <c r="C40" s="23"/>
      <c r="D40" s="23"/>
      <c r="E40" s="23"/>
      <c r="F40" s="23"/>
      <c r="G40" s="145" t="s">
        <v>113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41"/>
      <c r="B41" s="150"/>
      <c r="C41" s="23"/>
      <c r="D41" s="23"/>
      <c r="E41" s="23"/>
      <c r="F41" s="23"/>
      <c r="G41" s="147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39" t="s">
        <v>65</v>
      </c>
      <c r="B42" s="148" t="s">
        <v>66</v>
      </c>
      <c r="C42" s="23"/>
      <c r="D42" s="23"/>
      <c r="E42" s="23"/>
      <c r="F42" s="23"/>
      <c r="G42" s="145" t="s">
        <v>113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41"/>
      <c r="B43" s="150"/>
      <c r="C43" s="23"/>
      <c r="D43" s="23"/>
      <c r="E43" s="23"/>
      <c r="F43" s="23"/>
      <c r="G43" s="147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113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113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113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39" t="s">
        <v>77</v>
      </c>
      <c r="B47" s="148" t="s">
        <v>78</v>
      </c>
      <c r="C47" s="23"/>
      <c r="D47" s="23"/>
      <c r="E47" s="23"/>
      <c r="F47" s="23"/>
      <c r="G47" s="145" t="s">
        <v>113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40"/>
      <c r="B48" s="149"/>
      <c r="C48" s="23"/>
      <c r="D48" s="23"/>
      <c r="E48" s="23"/>
      <c r="F48" s="23"/>
      <c r="G48" s="146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40"/>
      <c r="B49" s="149"/>
      <c r="C49" s="23"/>
      <c r="D49" s="23"/>
      <c r="E49" s="23"/>
      <c r="F49" s="23"/>
      <c r="G49" s="146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41"/>
      <c r="B50" s="150"/>
      <c r="C50" s="23"/>
      <c r="D50" s="23"/>
      <c r="E50" s="23"/>
      <c r="F50" s="23"/>
      <c r="G50" s="147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54" t="s">
        <v>81</v>
      </c>
      <c r="B52" s="148" t="s">
        <v>82</v>
      </c>
      <c r="C52" s="23"/>
      <c r="D52" s="23"/>
      <c r="E52" s="23"/>
      <c r="F52" s="20"/>
      <c r="G52" s="145" t="s">
        <v>113</v>
      </c>
      <c r="H52" s="8" t="s">
        <v>27</v>
      </c>
      <c r="I52" s="8" t="s">
        <v>24</v>
      </c>
      <c r="J52" s="8" t="s">
        <v>75</v>
      </c>
      <c r="K52" s="8" t="s">
        <v>103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55"/>
      <c r="B53" s="149"/>
      <c r="C53" s="23"/>
      <c r="D53" s="23"/>
      <c r="E53" s="23"/>
      <c r="F53" s="20"/>
      <c r="G53" s="146"/>
      <c r="H53" s="8" t="s">
        <v>27</v>
      </c>
      <c r="I53" s="8" t="s">
        <v>24</v>
      </c>
      <c r="J53" s="8" t="s">
        <v>75</v>
      </c>
      <c r="K53" s="8" t="s">
        <v>103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55"/>
      <c r="B54" s="149"/>
      <c r="C54" s="23"/>
      <c r="D54" s="23"/>
      <c r="E54" s="23"/>
      <c r="F54" s="20"/>
      <c r="G54" s="146"/>
      <c r="H54" s="8" t="s">
        <v>27</v>
      </c>
      <c r="I54" s="8" t="s">
        <v>24</v>
      </c>
      <c r="J54" s="8" t="s">
        <v>75</v>
      </c>
      <c r="K54" s="8" t="s">
        <v>104</v>
      </c>
      <c r="L54" s="8" t="s">
        <v>87</v>
      </c>
      <c r="M54" s="26">
        <f>'[1]бюджетная роспись 15-16гг.'!$H$241/1000</f>
        <v>80.5</v>
      </c>
    </row>
    <row r="55" spans="1:13" ht="15">
      <c r="A55" s="155"/>
      <c r="B55" s="149"/>
      <c r="C55" s="23"/>
      <c r="D55" s="23"/>
      <c r="E55" s="23"/>
      <c r="F55" s="20"/>
      <c r="G55" s="146"/>
      <c r="H55" s="8" t="s">
        <v>27</v>
      </c>
      <c r="I55" s="8" t="s">
        <v>24</v>
      </c>
      <c r="J55" s="8" t="s">
        <v>75</v>
      </c>
      <c r="K55" s="8" t="s">
        <v>104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55"/>
      <c r="B56" s="149"/>
      <c r="C56" s="23"/>
      <c r="D56" s="23"/>
      <c r="E56" s="23"/>
      <c r="F56" s="20"/>
      <c r="G56" s="146"/>
      <c r="H56" s="8" t="s">
        <v>27</v>
      </c>
      <c r="I56" s="8" t="s">
        <v>24</v>
      </c>
      <c r="J56" s="8" t="s">
        <v>75</v>
      </c>
      <c r="K56" s="8" t="s">
        <v>104</v>
      </c>
      <c r="L56" s="8" t="s">
        <v>36</v>
      </c>
      <c r="M56" s="26">
        <f>'[1]бюджетная роспись 15-16гг.'!$H$254/1000</f>
        <v>128.4</v>
      </c>
    </row>
    <row r="57" spans="1:13" ht="15">
      <c r="A57" s="155"/>
      <c r="B57" s="149"/>
      <c r="C57" s="23"/>
      <c r="D57" s="23"/>
      <c r="E57" s="23"/>
      <c r="F57" s="20"/>
      <c r="G57" s="146"/>
      <c r="H57" s="8" t="s">
        <v>27</v>
      </c>
      <c r="I57" s="8" t="s">
        <v>24</v>
      </c>
      <c r="J57" s="8" t="s">
        <v>75</v>
      </c>
      <c r="K57" s="8" t="s">
        <v>104</v>
      </c>
      <c r="L57" s="8" t="s">
        <v>37</v>
      </c>
      <c r="M57" s="26">
        <f>'[1]бюджетная роспись 15-16гг.'!$H$256/1000</f>
        <v>4.4</v>
      </c>
    </row>
    <row r="58" spans="1:13" ht="15">
      <c r="A58" s="156"/>
      <c r="B58" s="150"/>
      <c r="C58" s="23"/>
      <c r="D58" s="23"/>
      <c r="E58" s="23"/>
      <c r="F58" s="20"/>
      <c r="G58" s="147"/>
      <c r="H58" s="8" t="s">
        <v>27</v>
      </c>
      <c r="I58" s="8" t="s">
        <v>24</v>
      </c>
      <c r="J58" s="8" t="s">
        <v>75</v>
      </c>
      <c r="K58" s="8" t="s">
        <v>105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54" t="s">
        <v>83</v>
      </c>
      <c r="B59" s="148" t="s">
        <v>84</v>
      </c>
      <c r="C59" s="23"/>
      <c r="D59" s="23"/>
      <c r="E59" s="23"/>
      <c r="F59" s="20"/>
      <c r="G59" s="145" t="s">
        <v>114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55"/>
      <c r="B60" s="149"/>
      <c r="C60" s="23"/>
      <c r="D60" s="23"/>
      <c r="E60" s="23"/>
      <c r="F60" s="20"/>
      <c r="G60" s="146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55"/>
      <c r="B61" s="149"/>
      <c r="C61" s="23"/>
      <c r="D61" s="23"/>
      <c r="E61" s="23"/>
      <c r="F61" s="20"/>
      <c r="G61" s="146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55"/>
      <c r="B62" s="149"/>
      <c r="C62" s="23"/>
      <c r="D62" s="23"/>
      <c r="E62" s="23"/>
      <c r="F62" s="20"/>
      <c r="G62" s="146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55"/>
      <c r="B63" s="149"/>
      <c r="C63" s="23"/>
      <c r="D63" s="23"/>
      <c r="E63" s="23"/>
      <c r="F63" s="20"/>
      <c r="G63" s="146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55"/>
      <c r="B64" s="149"/>
      <c r="C64" s="23"/>
      <c r="D64" s="23"/>
      <c r="E64" s="23"/>
      <c r="F64" s="20"/>
      <c r="G64" s="146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55"/>
      <c r="B65" s="149"/>
      <c r="C65" s="23"/>
      <c r="D65" s="23"/>
      <c r="E65" s="23"/>
      <c r="F65" s="20"/>
      <c r="G65" s="146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56"/>
      <c r="B66" s="150"/>
      <c r="C66" s="23"/>
      <c r="D66" s="23"/>
      <c r="E66" s="23"/>
      <c r="F66" s="20"/>
      <c r="G66" s="147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54" t="s">
        <v>91</v>
      </c>
      <c r="B67" s="148" t="s">
        <v>115</v>
      </c>
      <c r="C67" s="23"/>
      <c r="D67" s="23"/>
      <c r="E67" s="23"/>
      <c r="F67" s="20"/>
      <c r="G67" s="151" t="s">
        <v>114</v>
      </c>
      <c r="H67" s="8" t="s">
        <v>27</v>
      </c>
      <c r="I67" s="8" t="s">
        <v>92</v>
      </c>
      <c r="J67" s="8" t="s">
        <v>93</v>
      </c>
      <c r="K67" s="8" t="s">
        <v>94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56"/>
      <c r="B68" s="150"/>
      <c r="C68" s="23"/>
      <c r="D68" s="23"/>
      <c r="E68" s="23"/>
      <c r="F68" s="20"/>
      <c r="G68" s="152"/>
      <c r="H68" s="8" t="s">
        <v>27</v>
      </c>
      <c r="I68" s="8" t="s">
        <v>92</v>
      </c>
      <c r="J68" s="8" t="s">
        <v>93</v>
      </c>
      <c r="K68" s="8" t="s">
        <v>94</v>
      </c>
      <c r="L68" s="8" t="s">
        <v>95</v>
      </c>
      <c r="M68" s="26">
        <f>'[1]бюджетная роспись 15-16гг.'!$H$300/1000</f>
        <v>63222</v>
      </c>
    </row>
    <row r="69" spans="1:13" ht="15" customHeight="1">
      <c r="A69" s="157" t="s">
        <v>98</v>
      </c>
      <c r="B69" s="148" t="s">
        <v>116</v>
      </c>
      <c r="C69" s="23"/>
      <c r="D69" s="23"/>
      <c r="E69" s="23"/>
      <c r="F69" s="20"/>
      <c r="G69" s="151" t="s">
        <v>114</v>
      </c>
      <c r="H69" s="8" t="s">
        <v>27</v>
      </c>
      <c r="I69" s="8" t="s">
        <v>92</v>
      </c>
      <c r="J69" s="8" t="s">
        <v>93</v>
      </c>
      <c r="K69" s="8" t="s">
        <v>96</v>
      </c>
      <c r="L69" s="8" t="s">
        <v>30</v>
      </c>
      <c r="M69" s="26">
        <f>'[1]бюджетная роспись 15-16гг.'!$H$304/1000</f>
        <v>41</v>
      </c>
    </row>
    <row r="70" spans="1:13" ht="15">
      <c r="A70" s="158"/>
      <c r="B70" s="149"/>
      <c r="C70" s="23"/>
      <c r="D70" s="23"/>
      <c r="E70" s="23"/>
      <c r="F70" s="20"/>
      <c r="G70" s="153"/>
      <c r="H70" s="8" t="s">
        <v>27</v>
      </c>
      <c r="I70" s="8" t="s">
        <v>92</v>
      </c>
      <c r="J70" s="8" t="s">
        <v>93</v>
      </c>
      <c r="K70" s="8" t="s">
        <v>96</v>
      </c>
      <c r="L70" s="8" t="s">
        <v>97</v>
      </c>
      <c r="M70" s="26">
        <f>'[1]бюджетная роспись 15-16гг.'!$H$307/1000</f>
        <v>13702.8</v>
      </c>
    </row>
    <row r="71" spans="1:13" ht="15" customHeight="1">
      <c r="A71" s="158"/>
      <c r="B71" s="149"/>
      <c r="C71" s="23"/>
      <c r="D71" s="23"/>
      <c r="E71" s="23"/>
      <c r="F71" s="20"/>
      <c r="G71" s="153"/>
      <c r="H71" s="8" t="s">
        <v>27</v>
      </c>
      <c r="I71" s="8" t="s">
        <v>92</v>
      </c>
      <c r="J71" s="8" t="s">
        <v>93</v>
      </c>
      <c r="K71" s="8" t="s">
        <v>99</v>
      </c>
      <c r="L71" s="8" t="s">
        <v>30</v>
      </c>
      <c r="M71" s="26">
        <f>'[1]бюджетная роспись 15-16гг.'!$H$311/1000</f>
        <v>16.9</v>
      </c>
    </row>
    <row r="72" spans="1:13" ht="15">
      <c r="A72" s="158"/>
      <c r="B72" s="149"/>
      <c r="C72" s="23"/>
      <c r="D72" s="23"/>
      <c r="E72" s="23"/>
      <c r="F72" s="20"/>
      <c r="G72" s="153"/>
      <c r="H72" s="8" t="s">
        <v>27</v>
      </c>
      <c r="I72" s="8" t="s">
        <v>92</v>
      </c>
      <c r="J72" s="8" t="s">
        <v>93</v>
      </c>
      <c r="K72" s="8" t="s">
        <v>99</v>
      </c>
      <c r="L72" s="8" t="s">
        <v>97</v>
      </c>
      <c r="M72" s="26">
        <f>'[1]бюджетная роспись 15-16гг.'!$H$314/1000</f>
        <v>8252.4</v>
      </c>
    </row>
    <row r="73" spans="1:13" ht="15" customHeight="1">
      <c r="A73" s="158"/>
      <c r="B73" s="149"/>
      <c r="C73" s="23"/>
      <c r="D73" s="23"/>
      <c r="E73" s="23"/>
      <c r="F73" s="20"/>
      <c r="G73" s="153"/>
      <c r="H73" s="8" t="s">
        <v>27</v>
      </c>
      <c r="I73" s="8" t="s">
        <v>92</v>
      </c>
      <c r="J73" s="8" t="s">
        <v>93</v>
      </c>
      <c r="K73" s="8" t="s">
        <v>100</v>
      </c>
      <c r="L73" s="8" t="s">
        <v>30</v>
      </c>
      <c r="M73" s="26">
        <f>'[1]бюджетная роспись 15-16гг.'!$H$318/1000</f>
        <v>220.2</v>
      </c>
    </row>
    <row r="74" spans="1:13" ht="15">
      <c r="A74" s="159"/>
      <c r="B74" s="150"/>
      <c r="C74" s="23"/>
      <c r="D74" s="23"/>
      <c r="E74" s="23"/>
      <c r="F74" s="20"/>
      <c r="G74" s="152"/>
      <c r="H74" s="8" t="s">
        <v>27</v>
      </c>
      <c r="I74" s="8" t="s">
        <v>92</v>
      </c>
      <c r="J74" s="8" t="s">
        <v>93</v>
      </c>
      <c r="K74" s="8" t="s">
        <v>100</v>
      </c>
      <c r="L74" s="8" t="s">
        <v>97</v>
      </c>
      <c r="M74" s="26">
        <f>'[1]бюджетная роспись 15-16гг.'!$H$321/1000</f>
        <v>73398.1</v>
      </c>
    </row>
    <row r="75" spans="1:13" ht="165.75">
      <c r="A75" s="29" t="s">
        <v>101</v>
      </c>
      <c r="B75" s="29" t="s">
        <v>117</v>
      </c>
      <c r="C75" s="23"/>
      <c r="D75" s="23"/>
      <c r="E75" s="23"/>
      <c r="F75" s="20"/>
      <c r="G75" s="28" t="s">
        <v>114</v>
      </c>
      <c r="H75" s="8" t="s">
        <v>27</v>
      </c>
      <c r="I75" s="8" t="s">
        <v>24</v>
      </c>
      <c r="J75" s="8" t="s">
        <v>46</v>
      </c>
      <c r="K75" s="8" t="s">
        <v>102</v>
      </c>
      <c r="L75" s="8" t="s">
        <v>95</v>
      </c>
      <c r="M75" s="26">
        <f>'[1]бюджетная роспись 15-16гг.'!$H$168/1000</f>
        <v>3578.4</v>
      </c>
    </row>
    <row r="76" spans="1:13" ht="15">
      <c r="A76" s="137" t="s">
        <v>19</v>
      </c>
      <c r="B76" s="137"/>
      <c r="C76" s="137"/>
      <c r="D76" s="137"/>
      <c r="E76" s="137"/>
      <c r="F76" s="137"/>
      <c r="G76" s="137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60" t="s">
        <v>1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</row>
    <row r="80" spans="1:13" ht="15">
      <c r="A80" s="160" t="s">
        <v>2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</row>
    <row r="81" spans="1:13" ht="15">
      <c r="A81" s="160" t="s">
        <v>106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</row>
    <row r="82" spans="1:13" ht="15">
      <c r="A82" s="160" t="s">
        <v>22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</row>
    <row r="83" spans="1:13" ht="15">
      <c r="A83" s="160" t="s">
        <v>3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</row>
    <row r="84" ht="15">
      <c r="A84" s="2"/>
    </row>
    <row r="85" spans="1:13" ht="15">
      <c r="A85" s="161"/>
      <c r="B85" s="161"/>
      <c r="C85" s="162" t="s">
        <v>23</v>
      </c>
      <c r="D85" s="162"/>
      <c r="E85" s="162"/>
      <c r="F85" s="162"/>
      <c r="G85" s="162"/>
      <c r="H85" s="162"/>
      <c r="I85" s="162"/>
      <c r="J85" s="162"/>
      <c r="K85" s="162"/>
      <c r="L85" s="162"/>
      <c r="M85" s="162"/>
    </row>
    <row r="86" spans="1:13" ht="15">
      <c r="A86" s="161"/>
      <c r="B86" s="161"/>
      <c r="C86" s="162" t="s">
        <v>4</v>
      </c>
      <c r="D86" s="162"/>
      <c r="E86" s="162"/>
      <c r="F86" s="162"/>
      <c r="G86" s="162"/>
      <c r="H86" s="162"/>
      <c r="I86" s="162"/>
      <c r="J86" s="162"/>
      <c r="K86" s="162"/>
      <c r="L86" s="162"/>
      <c r="M86" s="162"/>
    </row>
    <row r="87" spans="1:13" ht="15">
      <c r="A87" s="162" t="s">
        <v>5</v>
      </c>
      <c r="B87" s="162" t="s">
        <v>20</v>
      </c>
      <c r="C87" s="162" t="s">
        <v>6</v>
      </c>
      <c r="D87" s="162" t="s">
        <v>7</v>
      </c>
      <c r="E87" s="162" t="s">
        <v>21</v>
      </c>
      <c r="F87" s="162" t="s">
        <v>8</v>
      </c>
      <c r="G87" s="162" t="s">
        <v>9</v>
      </c>
      <c r="H87" s="162" t="s">
        <v>10</v>
      </c>
      <c r="I87" s="162"/>
      <c r="J87" s="162"/>
      <c r="K87" s="162"/>
      <c r="L87" s="162"/>
      <c r="M87" s="162" t="s">
        <v>11</v>
      </c>
    </row>
    <row r="88" spans="1:13" ht="15">
      <c r="A88" s="162"/>
      <c r="B88" s="162"/>
      <c r="C88" s="162"/>
      <c r="D88" s="162"/>
      <c r="E88" s="162"/>
      <c r="F88" s="162"/>
      <c r="G88" s="162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62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63" t="s">
        <v>34</v>
      </c>
      <c r="B90" s="166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64"/>
      <c r="B91" s="167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64"/>
      <c r="B92" s="167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64"/>
      <c r="B93" s="167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64"/>
      <c r="B94" s="167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65"/>
      <c r="B95" s="168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63" t="s">
        <v>42</v>
      </c>
      <c r="B97" s="169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64"/>
      <c r="B98" s="170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64"/>
      <c r="B99" s="170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65"/>
      <c r="B100" s="171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63" t="s">
        <v>44</v>
      </c>
      <c r="B101" s="169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65"/>
      <c r="B102" s="171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63" t="s">
        <v>48</v>
      </c>
      <c r="B103" s="169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65"/>
      <c r="B104" s="171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63" t="s">
        <v>57</v>
      </c>
      <c r="B107" s="169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64"/>
      <c r="B108" s="170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65"/>
      <c r="B109" s="171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63" t="s">
        <v>61</v>
      </c>
      <c r="B110" s="169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65"/>
      <c r="B111" s="171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63" t="s">
        <v>63</v>
      </c>
      <c r="B112" s="169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65"/>
      <c r="B113" s="171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63" t="s">
        <v>65</v>
      </c>
      <c r="B114" s="169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65"/>
      <c r="B115" s="171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63" t="s">
        <v>77</v>
      </c>
      <c r="B119" s="169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64"/>
      <c r="B120" s="170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64"/>
      <c r="B121" s="170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65"/>
      <c r="B122" s="171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72" t="s">
        <v>81</v>
      </c>
      <c r="B124" s="169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103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74"/>
      <c r="B125" s="170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103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74"/>
      <c r="B126" s="170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104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74"/>
      <c r="B127" s="170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104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74"/>
      <c r="B128" s="170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104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74"/>
      <c r="B129" s="170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104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73"/>
      <c r="B130" s="171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105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72" t="s">
        <v>83</v>
      </c>
      <c r="B131" s="169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74"/>
      <c r="B132" s="170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74"/>
      <c r="B133" s="170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74"/>
      <c r="B134" s="170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74"/>
      <c r="B135" s="170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74"/>
      <c r="B136" s="170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74"/>
      <c r="B137" s="170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73"/>
      <c r="B138" s="171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72" t="s">
        <v>91</v>
      </c>
      <c r="B139" s="169" t="s">
        <v>115</v>
      </c>
      <c r="C139" s="16"/>
      <c r="D139" s="16"/>
      <c r="E139" s="16"/>
      <c r="F139" s="17"/>
      <c r="G139" s="16"/>
      <c r="H139" s="5" t="s">
        <v>27</v>
      </c>
      <c r="I139" s="5" t="s">
        <v>92</v>
      </c>
      <c r="J139" s="5" t="s">
        <v>93</v>
      </c>
      <c r="K139" s="5" t="s">
        <v>94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73"/>
      <c r="B140" s="171"/>
      <c r="C140" s="16"/>
      <c r="D140" s="16"/>
      <c r="E140" s="16"/>
      <c r="F140" s="17"/>
      <c r="G140" s="16"/>
      <c r="H140" s="5" t="s">
        <v>27</v>
      </c>
      <c r="I140" s="5" t="s">
        <v>92</v>
      </c>
      <c r="J140" s="5" t="s">
        <v>93</v>
      </c>
      <c r="K140" s="5" t="s">
        <v>94</v>
      </c>
      <c r="L140" s="5" t="s">
        <v>95</v>
      </c>
      <c r="M140" s="10">
        <f>'[1]бюджетная роспись 15-16гг.'!$J$300/1000</f>
        <v>63222</v>
      </c>
    </row>
    <row r="141" spans="1:13" ht="15">
      <c r="A141" s="175" t="s">
        <v>98</v>
      </c>
      <c r="B141" s="169" t="s">
        <v>116</v>
      </c>
      <c r="C141" s="16"/>
      <c r="D141" s="16"/>
      <c r="E141" s="16"/>
      <c r="F141" s="17"/>
      <c r="G141" s="16"/>
      <c r="H141" s="5" t="s">
        <v>27</v>
      </c>
      <c r="I141" s="5" t="s">
        <v>92</v>
      </c>
      <c r="J141" s="5" t="s">
        <v>93</v>
      </c>
      <c r="K141" s="5" t="s">
        <v>96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76"/>
      <c r="B142" s="170"/>
      <c r="C142" s="16"/>
      <c r="D142" s="16"/>
      <c r="E142" s="16"/>
      <c r="F142" s="17"/>
      <c r="G142" s="16"/>
      <c r="H142" s="5" t="s">
        <v>27</v>
      </c>
      <c r="I142" s="5" t="s">
        <v>92</v>
      </c>
      <c r="J142" s="5" t="s">
        <v>93</v>
      </c>
      <c r="K142" s="5" t="s">
        <v>96</v>
      </c>
      <c r="L142" s="5" t="s">
        <v>97</v>
      </c>
      <c r="M142" s="10">
        <f>'[1]бюджетная роспись 15-16гг.'!$J$307/1000</f>
        <v>13702.8</v>
      </c>
    </row>
    <row r="143" spans="1:13" ht="15">
      <c r="A143" s="176"/>
      <c r="B143" s="170"/>
      <c r="C143" s="16"/>
      <c r="D143" s="16"/>
      <c r="E143" s="16"/>
      <c r="F143" s="17"/>
      <c r="G143" s="16"/>
      <c r="H143" s="5" t="s">
        <v>27</v>
      </c>
      <c r="I143" s="5" t="s">
        <v>92</v>
      </c>
      <c r="J143" s="5" t="s">
        <v>93</v>
      </c>
      <c r="K143" s="5" t="s">
        <v>99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76"/>
      <c r="B144" s="170"/>
      <c r="C144" s="16"/>
      <c r="D144" s="16"/>
      <c r="E144" s="16"/>
      <c r="F144" s="17"/>
      <c r="G144" s="16"/>
      <c r="H144" s="5" t="s">
        <v>27</v>
      </c>
      <c r="I144" s="5" t="s">
        <v>92</v>
      </c>
      <c r="J144" s="5" t="s">
        <v>93</v>
      </c>
      <c r="K144" s="5" t="s">
        <v>99</v>
      </c>
      <c r="L144" s="5" t="s">
        <v>97</v>
      </c>
      <c r="M144" s="10">
        <f>'[1]бюджетная роспись 15-16гг.'!$J$314/1000</f>
        <v>8252.4</v>
      </c>
    </row>
    <row r="145" spans="1:13" ht="15">
      <c r="A145" s="176"/>
      <c r="B145" s="170"/>
      <c r="C145" s="16"/>
      <c r="D145" s="16"/>
      <c r="E145" s="16"/>
      <c r="F145" s="17"/>
      <c r="G145" s="16"/>
      <c r="H145" s="5" t="s">
        <v>27</v>
      </c>
      <c r="I145" s="5" t="s">
        <v>92</v>
      </c>
      <c r="J145" s="5" t="s">
        <v>93</v>
      </c>
      <c r="K145" s="5" t="s">
        <v>100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77"/>
      <c r="B146" s="171"/>
      <c r="C146" s="16"/>
      <c r="D146" s="16"/>
      <c r="E146" s="16"/>
      <c r="F146" s="17"/>
      <c r="G146" s="16"/>
      <c r="H146" s="5" t="s">
        <v>27</v>
      </c>
      <c r="I146" s="5" t="s">
        <v>92</v>
      </c>
      <c r="J146" s="5" t="s">
        <v>93</v>
      </c>
      <c r="K146" s="5" t="s">
        <v>100</v>
      </c>
      <c r="L146" s="5" t="s">
        <v>97</v>
      </c>
      <c r="M146" s="10">
        <f>'[1]бюджетная роспись 15-16гг.'!$J$321/1000</f>
        <v>73398.1</v>
      </c>
    </row>
    <row r="147" spans="1:13" ht="165.75">
      <c r="A147" s="6" t="s">
        <v>101</v>
      </c>
      <c r="B147" s="6" t="s">
        <v>117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102</v>
      </c>
      <c r="L147" s="5" t="s">
        <v>95</v>
      </c>
      <c r="M147" s="10">
        <f>'[1]бюджетная роспись 15-16гг.'!$J$166/1000</f>
        <v>3578.4</v>
      </c>
    </row>
    <row r="148" spans="1:13" ht="15">
      <c r="A148" s="161" t="s">
        <v>19</v>
      </c>
      <c r="B148" s="161"/>
      <c r="C148" s="161"/>
      <c r="D148" s="161"/>
      <c r="E148" s="161"/>
      <c r="F148" s="161"/>
      <c r="G148" s="161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60" t="s">
        <v>1</v>
      </c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</row>
    <row r="152" spans="1:13" ht="15">
      <c r="A152" s="160" t="s">
        <v>2</v>
      </c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</row>
    <row r="153" spans="1:13" ht="15">
      <c r="A153" s="160" t="s">
        <v>107</v>
      </c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</row>
    <row r="154" spans="1:13" ht="15">
      <c r="A154" s="160" t="s">
        <v>22</v>
      </c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</row>
    <row r="155" spans="1:13" ht="15">
      <c r="A155" s="160" t="s">
        <v>3</v>
      </c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</row>
    <row r="156" ht="15">
      <c r="A156" s="2"/>
    </row>
    <row r="157" spans="1:13" ht="15">
      <c r="A157" s="161"/>
      <c r="B157" s="161"/>
      <c r="C157" s="162" t="s">
        <v>23</v>
      </c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</row>
    <row r="158" spans="1:13" ht="15">
      <c r="A158" s="161"/>
      <c r="B158" s="161"/>
      <c r="C158" s="162" t="s">
        <v>4</v>
      </c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</row>
    <row r="159" spans="1:13" ht="15">
      <c r="A159" s="162" t="s">
        <v>5</v>
      </c>
      <c r="B159" s="162" t="s">
        <v>20</v>
      </c>
      <c r="C159" s="162" t="s">
        <v>6</v>
      </c>
      <c r="D159" s="162" t="s">
        <v>7</v>
      </c>
      <c r="E159" s="162" t="s">
        <v>21</v>
      </c>
      <c r="F159" s="162" t="s">
        <v>8</v>
      </c>
      <c r="G159" s="162" t="s">
        <v>9</v>
      </c>
      <c r="H159" s="162" t="s">
        <v>10</v>
      </c>
      <c r="I159" s="162"/>
      <c r="J159" s="162"/>
      <c r="K159" s="162"/>
      <c r="L159" s="162"/>
      <c r="M159" s="162" t="s">
        <v>11</v>
      </c>
    </row>
    <row r="160" spans="1:13" ht="15">
      <c r="A160" s="162"/>
      <c r="B160" s="162"/>
      <c r="C160" s="162"/>
      <c r="D160" s="162"/>
      <c r="E160" s="162"/>
      <c r="F160" s="162"/>
      <c r="G160" s="162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62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63" t="s">
        <v>34</v>
      </c>
      <c r="B162" s="166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64"/>
      <c r="B163" s="167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64"/>
      <c r="B164" s="167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64"/>
      <c r="B165" s="167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64"/>
      <c r="B166" s="167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65"/>
      <c r="B167" s="168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63" t="s">
        <v>42</v>
      </c>
      <c r="B169" s="169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64"/>
      <c r="B170" s="170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64"/>
      <c r="B171" s="170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65"/>
      <c r="B172" s="171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63" t="s">
        <v>44</v>
      </c>
      <c r="B173" s="169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65"/>
      <c r="B174" s="171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63" t="s">
        <v>48</v>
      </c>
      <c r="B175" s="169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65"/>
      <c r="B176" s="171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63" t="s">
        <v>57</v>
      </c>
      <c r="B179" s="169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64"/>
      <c r="B180" s="170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65"/>
      <c r="B181" s="171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63" t="s">
        <v>61</v>
      </c>
      <c r="B182" s="169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65"/>
      <c r="B183" s="171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63" t="s">
        <v>63</v>
      </c>
      <c r="B184" s="169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65"/>
      <c r="B185" s="171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63" t="s">
        <v>65</v>
      </c>
      <c r="B186" s="169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65"/>
      <c r="B187" s="171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63" t="s">
        <v>77</v>
      </c>
      <c r="B191" s="169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64"/>
      <c r="B192" s="170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64"/>
      <c r="B193" s="170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65"/>
      <c r="B194" s="171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72" t="s">
        <v>81</v>
      </c>
      <c r="B196" s="169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103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74"/>
      <c r="B197" s="170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103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74"/>
      <c r="B198" s="170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104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74"/>
      <c r="B199" s="170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104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74"/>
      <c r="B200" s="170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104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74"/>
      <c r="B201" s="170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104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73"/>
      <c r="B202" s="171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105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72" t="s">
        <v>83</v>
      </c>
      <c r="B203" s="169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74"/>
      <c r="B204" s="170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74"/>
      <c r="B205" s="170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74"/>
      <c r="B206" s="170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74"/>
      <c r="B207" s="170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74"/>
      <c r="B208" s="170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74"/>
      <c r="B209" s="170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73"/>
      <c r="B210" s="171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72" t="s">
        <v>91</v>
      </c>
      <c r="B211" s="169" t="s">
        <v>115</v>
      </c>
      <c r="C211" s="16"/>
      <c r="D211" s="16"/>
      <c r="E211" s="16"/>
      <c r="F211" s="17"/>
      <c r="G211" s="16"/>
      <c r="H211" s="5" t="s">
        <v>27</v>
      </c>
      <c r="I211" s="5" t="s">
        <v>92</v>
      </c>
      <c r="J211" s="5" t="s">
        <v>93</v>
      </c>
      <c r="K211" s="5" t="s">
        <v>94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73"/>
      <c r="B212" s="171"/>
      <c r="C212" s="16"/>
      <c r="D212" s="16"/>
      <c r="E212" s="16"/>
      <c r="F212" s="17"/>
      <c r="G212" s="16"/>
      <c r="H212" s="5" t="s">
        <v>27</v>
      </c>
      <c r="I212" s="5" t="s">
        <v>92</v>
      </c>
      <c r="J212" s="5" t="s">
        <v>93</v>
      </c>
      <c r="K212" s="5" t="s">
        <v>94</v>
      </c>
      <c r="L212" s="5" t="s">
        <v>95</v>
      </c>
      <c r="M212" s="10">
        <f>'[1]бюджетная роспись 15-16гг.'!$J$300/1000</f>
        <v>63222</v>
      </c>
    </row>
    <row r="213" spans="1:13" ht="15">
      <c r="A213" s="175" t="s">
        <v>98</v>
      </c>
      <c r="B213" s="169" t="s">
        <v>116</v>
      </c>
      <c r="C213" s="16"/>
      <c r="D213" s="16"/>
      <c r="E213" s="16"/>
      <c r="F213" s="17"/>
      <c r="G213" s="16"/>
      <c r="H213" s="5" t="s">
        <v>27</v>
      </c>
      <c r="I213" s="5" t="s">
        <v>92</v>
      </c>
      <c r="J213" s="5" t="s">
        <v>93</v>
      </c>
      <c r="K213" s="5" t="s">
        <v>96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76"/>
      <c r="B214" s="170"/>
      <c r="C214" s="16"/>
      <c r="D214" s="16"/>
      <c r="E214" s="16"/>
      <c r="F214" s="17"/>
      <c r="G214" s="16"/>
      <c r="H214" s="5" t="s">
        <v>27</v>
      </c>
      <c r="I214" s="5" t="s">
        <v>92</v>
      </c>
      <c r="J214" s="5" t="s">
        <v>93</v>
      </c>
      <c r="K214" s="5" t="s">
        <v>96</v>
      </c>
      <c r="L214" s="5" t="s">
        <v>97</v>
      </c>
      <c r="M214" s="10">
        <f>'[1]бюджетная роспись 15-16гг.'!$J$307/1000</f>
        <v>13702.8</v>
      </c>
    </row>
    <row r="215" spans="1:13" ht="15">
      <c r="A215" s="176"/>
      <c r="B215" s="170"/>
      <c r="C215" s="16"/>
      <c r="D215" s="16"/>
      <c r="E215" s="16"/>
      <c r="F215" s="17"/>
      <c r="G215" s="16"/>
      <c r="H215" s="5" t="s">
        <v>27</v>
      </c>
      <c r="I215" s="5" t="s">
        <v>92</v>
      </c>
      <c r="J215" s="5" t="s">
        <v>93</v>
      </c>
      <c r="K215" s="5" t="s">
        <v>99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76"/>
      <c r="B216" s="170"/>
      <c r="C216" s="16"/>
      <c r="D216" s="16"/>
      <c r="E216" s="16"/>
      <c r="F216" s="17"/>
      <c r="G216" s="16"/>
      <c r="H216" s="5" t="s">
        <v>27</v>
      </c>
      <c r="I216" s="5" t="s">
        <v>92</v>
      </c>
      <c r="J216" s="5" t="s">
        <v>93</v>
      </c>
      <c r="K216" s="5" t="s">
        <v>99</v>
      </c>
      <c r="L216" s="5" t="s">
        <v>97</v>
      </c>
      <c r="M216" s="10">
        <f>'[1]бюджетная роспись 15-16гг.'!$J$314/1000</f>
        <v>8252.4</v>
      </c>
    </row>
    <row r="217" spans="1:13" ht="15">
      <c r="A217" s="176"/>
      <c r="B217" s="170"/>
      <c r="C217" s="16"/>
      <c r="D217" s="16"/>
      <c r="E217" s="16"/>
      <c r="F217" s="17"/>
      <c r="G217" s="16"/>
      <c r="H217" s="5" t="s">
        <v>27</v>
      </c>
      <c r="I217" s="5" t="s">
        <v>92</v>
      </c>
      <c r="J217" s="5" t="s">
        <v>93</v>
      </c>
      <c r="K217" s="5" t="s">
        <v>100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77"/>
      <c r="B218" s="171"/>
      <c r="C218" s="16"/>
      <c r="D218" s="16"/>
      <c r="E218" s="16"/>
      <c r="F218" s="17"/>
      <c r="G218" s="16"/>
      <c r="H218" s="5" t="s">
        <v>27</v>
      </c>
      <c r="I218" s="5" t="s">
        <v>92</v>
      </c>
      <c r="J218" s="5" t="s">
        <v>93</v>
      </c>
      <c r="K218" s="5" t="s">
        <v>100</v>
      </c>
      <c r="L218" s="5" t="s">
        <v>97</v>
      </c>
      <c r="M218" s="10">
        <f>'[1]бюджетная роспись 15-16гг.'!$J$321/1000</f>
        <v>73398.1</v>
      </c>
    </row>
    <row r="219" spans="1:13" ht="165.75">
      <c r="A219" s="6" t="s">
        <v>101</v>
      </c>
      <c r="B219" s="6" t="s">
        <v>117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102</v>
      </c>
      <c r="L219" s="5" t="s">
        <v>95</v>
      </c>
      <c r="M219" s="10">
        <f>'[1]бюджетная роспись 15-16гг.'!$J$166/1000</f>
        <v>3578.4</v>
      </c>
    </row>
    <row r="220" spans="1:13" ht="15">
      <c r="A220" s="161" t="s">
        <v>19</v>
      </c>
      <c r="B220" s="161"/>
      <c r="C220" s="161"/>
      <c r="D220" s="161"/>
      <c r="E220" s="161"/>
      <c r="F220" s="161"/>
      <c r="G220" s="161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60" t="s">
        <v>1</v>
      </c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</row>
    <row r="224" spans="1:13" ht="15">
      <c r="A224" s="160" t="s">
        <v>2</v>
      </c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</row>
    <row r="225" spans="1:13" ht="15">
      <c r="A225" s="160" t="s">
        <v>108</v>
      </c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</row>
    <row r="226" spans="1:13" ht="15">
      <c r="A226" s="160" t="s">
        <v>22</v>
      </c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</row>
    <row r="227" spans="1:13" ht="15">
      <c r="A227" s="160" t="s">
        <v>3</v>
      </c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</row>
    <row r="228" ht="15">
      <c r="A228" s="2"/>
    </row>
    <row r="229" spans="1:13" ht="15">
      <c r="A229" s="161"/>
      <c r="B229" s="161"/>
      <c r="C229" s="162" t="s">
        <v>23</v>
      </c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</row>
    <row r="230" spans="1:13" ht="15">
      <c r="A230" s="161"/>
      <c r="B230" s="161"/>
      <c r="C230" s="162" t="s">
        <v>4</v>
      </c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</row>
    <row r="231" spans="1:13" ht="15">
      <c r="A231" s="162" t="s">
        <v>5</v>
      </c>
      <c r="B231" s="162" t="s">
        <v>20</v>
      </c>
      <c r="C231" s="162" t="s">
        <v>6</v>
      </c>
      <c r="D231" s="162" t="s">
        <v>7</v>
      </c>
      <c r="E231" s="162" t="s">
        <v>21</v>
      </c>
      <c r="F231" s="162" t="s">
        <v>8</v>
      </c>
      <c r="G231" s="162" t="s">
        <v>9</v>
      </c>
      <c r="H231" s="162" t="s">
        <v>10</v>
      </c>
      <c r="I231" s="162"/>
      <c r="J231" s="162"/>
      <c r="K231" s="162"/>
      <c r="L231" s="162"/>
      <c r="M231" s="162" t="s">
        <v>11</v>
      </c>
    </row>
    <row r="232" spans="1:13" ht="15">
      <c r="A232" s="162"/>
      <c r="B232" s="162"/>
      <c r="C232" s="162"/>
      <c r="D232" s="162"/>
      <c r="E232" s="162"/>
      <c r="F232" s="162"/>
      <c r="G232" s="162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62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63" t="s">
        <v>34</v>
      </c>
      <c r="B234" s="166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64"/>
      <c r="B235" s="167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64"/>
      <c r="B236" s="167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64"/>
      <c r="B237" s="167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64"/>
      <c r="B238" s="167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65"/>
      <c r="B239" s="168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63" t="s">
        <v>42</v>
      </c>
      <c r="B241" s="169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64"/>
      <c r="B242" s="170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64"/>
      <c r="B243" s="170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65"/>
      <c r="B244" s="171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63" t="s">
        <v>44</v>
      </c>
      <c r="B245" s="169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65"/>
      <c r="B246" s="171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63" t="s">
        <v>48</v>
      </c>
      <c r="B247" s="169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65"/>
      <c r="B248" s="171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63" t="s">
        <v>57</v>
      </c>
      <c r="B251" s="169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64"/>
      <c r="B252" s="170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65"/>
      <c r="B253" s="171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63" t="s">
        <v>61</v>
      </c>
      <c r="B254" s="169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65"/>
      <c r="B255" s="171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63" t="s">
        <v>63</v>
      </c>
      <c r="B256" s="169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65"/>
      <c r="B257" s="171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63" t="s">
        <v>65</v>
      </c>
      <c r="B258" s="169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65"/>
      <c r="B259" s="171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63" t="s">
        <v>77</v>
      </c>
      <c r="B263" s="169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64"/>
      <c r="B264" s="170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64"/>
      <c r="B265" s="170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65"/>
      <c r="B266" s="171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72" t="s">
        <v>81</v>
      </c>
      <c r="B268" s="169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103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74"/>
      <c r="B269" s="170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103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74"/>
      <c r="B270" s="170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104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74"/>
      <c r="B271" s="170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104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74"/>
      <c r="B272" s="170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104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74"/>
      <c r="B273" s="170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104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73"/>
      <c r="B274" s="171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105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72" t="s">
        <v>83</v>
      </c>
      <c r="B275" s="169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74"/>
      <c r="B276" s="170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74"/>
      <c r="B277" s="170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74"/>
      <c r="B278" s="170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74"/>
      <c r="B279" s="170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74"/>
      <c r="B280" s="170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74"/>
      <c r="B281" s="170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73"/>
      <c r="B282" s="171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72" t="s">
        <v>91</v>
      </c>
      <c r="B283" s="169" t="s">
        <v>115</v>
      </c>
      <c r="C283" s="16"/>
      <c r="D283" s="16"/>
      <c r="E283" s="16"/>
      <c r="F283" s="17"/>
      <c r="G283" s="16"/>
      <c r="H283" s="5" t="s">
        <v>27</v>
      </c>
      <c r="I283" s="5" t="s">
        <v>92</v>
      </c>
      <c r="J283" s="5" t="s">
        <v>93</v>
      </c>
      <c r="K283" s="5" t="s">
        <v>94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73"/>
      <c r="B284" s="171"/>
      <c r="C284" s="16"/>
      <c r="D284" s="16"/>
      <c r="E284" s="16"/>
      <c r="F284" s="17"/>
      <c r="G284" s="16"/>
      <c r="H284" s="5" t="s">
        <v>27</v>
      </c>
      <c r="I284" s="5" t="s">
        <v>92</v>
      </c>
      <c r="J284" s="5" t="s">
        <v>93</v>
      </c>
      <c r="K284" s="5" t="s">
        <v>94</v>
      </c>
      <c r="L284" s="5" t="s">
        <v>95</v>
      </c>
      <c r="M284" s="10">
        <f>'[1]бюджетная роспись 15-16гг.'!$J$300/1000</f>
        <v>63222</v>
      </c>
    </row>
    <row r="285" spans="1:13" ht="15" customHeight="1">
      <c r="A285" s="175" t="s">
        <v>98</v>
      </c>
      <c r="B285" s="169" t="s">
        <v>116</v>
      </c>
      <c r="C285" s="16"/>
      <c r="D285" s="16"/>
      <c r="E285" s="16"/>
      <c r="F285" s="17"/>
      <c r="G285" s="16"/>
      <c r="H285" s="5" t="s">
        <v>27</v>
      </c>
      <c r="I285" s="5" t="s">
        <v>92</v>
      </c>
      <c r="J285" s="5" t="s">
        <v>93</v>
      </c>
      <c r="K285" s="5" t="s">
        <v>96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76"/>
      <c r="B286" s="170"/>
      <c r="C286" s="16"/>
      <c r="D286" s="16"/>
      <c r="E286" s="16"/>
      <c r="F286" s="17"/>
      <c r="G286" s="16"/>
      <c r="H286" s="5" t="s">
        <v>27</v>
      </c>
      <c r="I286" s="5" t="s">
        <v>92</v>
      </c>
      <c r="J286" s="5" t="s">
        <v>93</v>
      </c>
      <c r="K286" s="5" t="s">
        <v>96</v>
      </c>
      <c r="L286" s="5" t="s">
        <v>97</v>
      </c>
      <c r="M286" s="10">
        <f>'[1]бюджетная роспись 15-16гг.'!$J$307/1000</f>
        <v>13702.8</v>
      </c>
    </row>
    <row r="287" spans="1:13" ht="15" customHeight="1">
      <c r="A287" s="176"/>
      <c r="B287" s="170"/>
      <c r="C287" s="16"/>
      <c r="D287" s="16"/>
      <c r="E287" s="16"/>
      <c r="F287" s="17"/>
      <c r="G287" s="16"/>
      <c r="H287" s="5" t="s">
        <v>27</v>
      </c>
      <c r="I287" s="5" t="s">
        <v>92</v>
      </c>
      <c r="J287" s="5" t="s">
        <v>93</v>
      </c>
      <c r="K287" s="5" t="s">
        <v>99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76"/>
      <c r="B288" s="170"/>
      <c r="C288" s="16"/>
      <c r="D288" s="16"/>
      <c r="E288" s="16"/>
      <c r="F288" s="17"/>
      <c r="G288" s="16"/>
      <c r="H288" s="5" t="s">
        <v>27</v>
      </c>
      <c r="I288" s="5" t="s">
        <v>92</v>
      </c>
      <c r="J288" s="5" t="s">
        <v>93</v>
      </c>
      <c r="K288" s="5" t="s">
        <v>99</v>
      </c>
      <c r="L288" s="5" t="s">
        <v>97</v>
      </c>
      <c r="M288" s="10">
        <f>'[1]бюджетная роспись 15-16гг.'!$J$314/1000</f>
        <v>8252.4</v>
      </c>
    </row>
    <row r="289" spans="1:13" ht="15" customHeight="1">
      <c r="A289" s="176"/>
      <c r="B289" s="170"/>
      <c r="C289" s="16"/>
      <c r="D289" s="16"/>
      <c r="E289" s="16"/>
      <c r="F289" s="17"/>
      <c r="G289" s="16"/>
      <c r="H289" s="5" t="s">
        <v>27</v>
      </c>
      <c r="I289" s="5" t="s">
        <v>92</v>
      </c>
      <c r="J289" s="5" t="s">
        <v>93</v>
      </c>
      <c r="K289" s="5" t="s">
        <v>100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77"/>
      <c r="B290" s="171"/>
      <c r="C290" s="16"/>
      <c r="D290" s="16"/>
      <c r="E290" s="16"/>
      <c r="F290" s="17"/>
      <c r="G290" s="16"/>
      <c r="H290" s="5" t="s">
        <v>27</v>
      </c>
      <c r="I290" s="5" t="s">
        <v>92</v>
      </c>
      <c r="J290" s="5" t="s">
        <v>93</v>
      </c>
      <c r="K290" s="5" t="s">
        <v>100</v>
      </c>
      <c r="L290" s="5" t="s">
        <v>97</v>
      </c>
      <c r="M290" s="10">
        <f>'[1]бюджетная роспись 15-16гг.'!$J$321/1000</f>
        <v>73398.1</v>
      </c>
    </row>
    <row r="291" spans="1:13" ht="165.75">
      <c r="A291" s="6" t="s">
        <v>101</v>
      </c>
      <c r="B291" s="6" t="s">
        <v>117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102</v>
      </c>
      <c r="L291" s="5" t="s">
        <v>95</v>
      </c>
      <c r="M291" s="10">
        <f>'[1]бюджетная роспись 15-16гг.'!$J$166/1000</f>
        <v>3578.4</v>
      </c>
    </row>
    <row r="292" spans="1:13" ht="15">
      <c r="A292" s="161" t="s">
        <v>19</v>
      </c>
      <c r="B292" s="161"/>
      <c r="C292" s="161"/>
      <c r="D292" s="161"/>
      <c r="E292" s="161"/>
      <c r="F292" s="161"/>
      <c r="G292" s="161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60" t="s">
        <v>1</v>
      </c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</row>
    <row r="296" spans="1:13" ht="15">
      <c r="A296" s="160" t="s">
        <v>2</v>
      </c>
      <c r="B296" s="160"/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</row>
    <row r="297" spans="1:13" ht="15">
      <c r="A297" s="160" t="s">
        <v>109</v>
      </c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</row>
    <row r="298" spans="1:13" ht="15">
      <c r="A298" s="160" t="s">
        <v>22</v>
      </c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</row>
    <row r="299" spans="1:13" ht="15">
      <c r="A299" s="160" t="s">
        <v>3</v>
      </c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</row>
    <row r="300" ht="15">
      <c r="A300" s="2"/>
    </row>
    <row r="301" spans="1:13" ht="15">
      <c r="A301" s="161"/>
      <c r="B301" s="161"/>
      <c r="C301" s="162" t="s">
        <v>23</v>
      </c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</row>
    <row r="302" spans="1:13" ht="15">
      <c r="A302" s="161"/>
      <c r="B302" s="161"/>
      <c r="C302" s="162" t="s">
        <v>4</v>
      </c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</row>
    <row r="303" spans="1:13" ht="15">
      <c r="A303" s="162" t="s">
        <v>5</v>
      </c>
      <c r="B303" s="162" t="s">
        <v>20</v>
      </c>
      <c r="C303" s="162" t="s">
        <v>6</v>
      </c>
      <c r="D303" s="162" t="s">
        <v>7</v>
      </c>
      <c r="E303" s="162" t="s">
        <v>21</v>
      </c>
      <c r="F303" s="162" t="s">
        <v>8</v>
      </c>
      <c r="G303" s="162" t="s">
        <v>9</v>
      </c>
      <c r="H303" s="162" t="s">
        <v>10</v>
      </c>
      <c r="I303" s="162"/>
      <c r="J303" s="162"/>
      <c r="K303" s="162"/>
      <c r="L303" s="162"/>
      <c r="M303" s="162" t="s">
        <v>11</v>
      </c>
    </row>
    <row r="304" spans="1:13" ht="15">
      <c r="A304" s="162"/>
      <c r="B304" s="162"/>
      <c r="C304" s="162"/>
      <c r="D304" s="162"/>
      <c r="E304" s="162"/>
      <c r="F304" s="162"/>
      <c r="G304" s="162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62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63" t="s">
        <v>34</v>
      </c>
      <c r="B306" s="166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64"/>
      <c r="B307" s="167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64"/>
      <c r="B308" s="167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64"/>
      <c r="B309" s="167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64"/>
      <c r="B310" s="167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65"/>
      <c r="B311" s="168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63" t="s">
        <v>42</v>
      </c>
      <c r="B313" s="169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64"/>
      <c r="B314" s="170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64"/>
      <c r="B315" s="170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65"/>
      <c r="B316" s="171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63" t="s">
        <v>44</v>
      </c>
      <c r="B317" s="169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65"/>
      <c r="B318" s="171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63" t="s">
        <v>48</v>
      </c>
      <c r="B319" s="169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65"/>
      <c r="B320" s="171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63" t="s">
        <v>57</v>
      </c>
      <c r="B323" s="169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64"/>
      <c r="B324" s="170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65"/>
      <c r="B325" s="171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63" t="s">
        <v>61</v>
      </c>
      <c r="B326" s="169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65"/>
      <c r="B327" s="171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63" t="s">
        <v>63</v>
      </c>
      <c r="B328" s="169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65"/>
      <c r="B329" s="171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63" t="s">
        <v>65</v>
      </c>
      <c r="B330" s="169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65"/>
      <c r="B331" s="171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63" t="s">
        <v>77</v>
      </c>
      <c r="B335" s="169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64"/>
      <c r="B336" s="170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64"/>
      <c r="B337" s="170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65"/>
      <c r="B338" s="171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72" t="s">
        <v>81</v>
      </c>
      <c r="B340" s="169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103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74"/>
      <c r="B341" s="170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103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74"/>
      <c r="B342" s="170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104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74"/>
      <c r="B343" s="170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104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74"/>
      <c r="B344" s="170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104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74"/>
      <c r="B345" s="170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104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73"/>
      <c r="B346" s="171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105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72" t="s">
        <v>83</v>
      </c>
      <c r="B347" s="169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74"/>
      <c r="B348" s="170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74"/>
      <c r="B349" s="170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74"/>
      <c r="B350" s="170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74"/>
      <c r="B351" s="170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74"/>
      <c r="B352" s="170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74"/>
      <c r="B353" s="170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73"/>
      <c r="B354" s="171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72" t="s">
        <v>91</v>
      </c>
      <c r="B355" s="169" t="s">
        <v>115</v>
      </c>
      <c r="C355" s="16"/>
      <c r="D355" s="16"/>
      <c r="E355" s="16"/>
      <c r="F355" s="17"/>
      <c r="G355" s="16"/>
      <c r="H355" s="5" t="s">
        <v>27</v>
      </c>
      <c r="I355" s="5" t="s">
        <v>92</v>
      </c>
      <c r="J355" s="5" t="s">
        <v>93</v>
      </c>
      <c r="K355" s="5" t="s">
        <v>94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73"/>
      <c r="B356" s="171"/>
      <c r="C356" s="16"/>
      <c r="D356" s="16"/>
      <c r="E356" s="16"/>
      <c r="F356" s="17"/>
      <c r="G356" s="16"/>
      <c r="H356" s="5" t="s">
        <v>27</v>
      </c>
      <c r="I356" s="5" t="s">
        <v>92</v>
      </c>
      <c r="J356" s="5" t="s">
        <v>93</v>
      </c>
      <c r="K356" s="5" t="s">
        <v>94</v>
      </c>
      <c r="L356" s="5" t="s">
        <v>95</v>
      </c>
      <c r="M356" s="10">
        <f>'[1]бюджетная роспись 15-16гг.'!$J$300/1000</f>
        <v>63222</v>
      </c>
    </row>
    <row r="357" spans="1:13" ht="15" customHeight="1">
      <c r="A357" s="172" t="s">
        <v>98</v>
      </c>
      <c r="B357" s="169" t="s">
        <v>116</v>
      </c>
      <c r="C357" s="16"/>
      <c r="D357" s="16"/>
      <c r="E357" s="16"/>
      <c r="F357" s="17"/>
      <c r="G357" s="16"/>
      <c r="H357" s="5" t="s">
        <v>27</v>
      </c>
      <c r="I357" s="5" t="s">
        <v>92</v>
      </c>
      <c r="J357" s="5" t="s">
        <v>93</v>
      </c>
      <c r="K357" s="5" t="s">
        <v>96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74"/>
      <c r="B358" s="170"/>
      <c r="C358" s="16"/>
      <c r="D358" s="16"/>
      <c r="E358" s="16"/>
      <c r="F358" s="17"/>
      <c r="G358" s="16"/>
      <c r="H358" s="5" t="s">
        <v>27</v>
      </c>
      <c r="I358" s="5" t="s">
        <v>92</v>
      </c>
      <c r="J358" s="5" t="s">
        <v>93</v>
      </c>
      <c r="K358" s="5" t="s">
        <v>96</v>
      </c>
      <c r="L358" s="5" t="s">
        <v>97</v>
      </c>
      <c r="M358" s="10">
        <f>'[1]бюджетная роспись 15-16гг.'!$J$307/1000</f>
        <v>13702.8</v>
      </c>
    </row>
    <row r="359" spans="1:13" ht="15" customHeight="1">
      <c r="A359" s="174"/>
      <c r="B359" s="170"/>
      <c r="C359" s="16"/>
      <c r="D359" s="16"/>
      <c r="E359" s="16"/>
      <c r="F359" s="17"/>
      <c r="G359" s="16"/>
      <c r="H359" s="5" t="s">
        <v>27</v>
      </c>
      <c r="I359" s="5" t="s">
        <v>92</v>
      </c>
      <c r="J359" s="5" t="s">
        <v>93</v>
      </c>
      <c r="K359" s="5" t="s">
        <v>99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74"/>
      <c r="B360" s="170"/>
      <c r="C360" s="16"/>
      <c r="D360" s="16"/>
      <c r="E360" s="16"/>
      <c r="F360" s="17"/>
      <c r="G360" s="16"/>
      <c r="H360" s="5" t="s">
        <v>27</v>
      </c>
      <c r="I360" s="5" t="s">
        <v>92</v>
      </c>
      <c r="J360" s="5" t="s">
        <v>93</v>
      </c>
      <c r="K360" s="5" t="s">
        <v>99</v>
      </c>
      <c r="L360" s="5" t="s">
        <v>97</v>
      </c>
      <c r="M360" s="10">
        <f>'[1]бюджетная роспись 15-16гг.'!$J$314/1000</f>
        <v>8252.4</v>
      </c>
    </row>
    <row r="361" spans="1:13" ht="15" customHeight="1">
      <c r="A361" s="174"/>
      <c r="B361" s="170"/>
      <c r="C361" s="16"/>
      <c r="D361" s="16"/>
      <c r="E361" s="16"/>
      <c r="F361" s="17"/>
      <c r="G361" s="16"/>
      <c r="H361" s="5" t="s">
        <v>27</v>
      </c>
      <c r="I361" s="5" t="s">
        <v>92</v>
      </c>
      <c r="J361" s="5" t="s">
        <v>93</v>
      </c>
      <c r="K361" s="5" t="s">
        <v>100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73"/>
      <c r="B362" s="171"/>
      <c r="C362" s="16"/>
      <c r="D362" s="16"/>
      <c r="E362" s="16"/>
      <c r="F362" s="17"/>
      <c r="G362" s="16"/>
      <c r="H362" s="5" t="s">
        <v>27</v>
      </c>
      <c r="I362" s="5" t="s">
        <v>92</v>
      </c>
      <c r="J362" s="5" t="s">
        <v>93</v>
      </c>
      <c r="K362" s="5" t="s">
        <v>100</v>
      </c>
      <c r="L362" s="5" t="s">
        <v>97</v>
      </c>
      <c r="M362" s="10">
        <f>'[1]бюджетная роспись 15-16гг.'!$J$321/1000</f>
        <v>73398.1</v>
      </c>
    </row>
    <row r="363" spans="1:13" ht="165.75">
      <c r="A363" s="6" t="s">
        <v>101</v>
      </c>
      <c r="B363" s="6" t="s">
        <v>117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102</v>
      </c>
      <c r="L363" s="5" t="s">
        <v>95</v>
      </c>
      <c r="M363" s="10">
        <f>'[1]бюджетная роспись 15-16гг.'!$J$166/1000</f>
        <v>3578.4</v>
      </c>
    </row>
    <row r="364" spans="1:13" ht="15">
      <c r="A364" s="161" t="s">
        <v>19</v>
      </c>
      <c r="B364" s="161"/>
      <c r="C364" s="161"/>
      <c r="D364" s="161"/>
      <c r="E364" s="161"/>
      <c r="F364" s="161"/>
      <c r="G364" s="161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60" t="s">
        <v>1</v>
      </c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</row>
    <row r="368" spans="1:13" ht="15">
      <c r="A368" s="160" t="s">
        <v>2</v>
      </c>
      <c r="B368" s="160"/>
      <c r="C368" s="160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</row>
    <row r="369" spans="1:13" ht="15">
      <c r="A369" s="160" t="s">
        <v>110</v>
      </c>
      <c r="B369" s="160"/>
      <c r="C369" s="160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</row>
    <row r="370" spans="1:13" ht="15">
      <c r="A370" s="160" t="s">
        <v>22</v>
      </c>
      <c r="B370" s="160"/>
      <c r="C370" s="160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</row>
    <row r="371" spans="1:13" ht="15">
      <c r="A371" s="160" t="s">
        <v>3</v>
      </c>
      <c r="B371" s="160"/>
      <c r="C371" s="160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</row>
    <row r="372" ht="15">
      <c r="A372" s="2"/>
    </row>
    <row r="373" spans="1:13" ht="15">
      <c r="A373" s="161"/>
      <c r="B373" s="161"/>
      <c r="C373" s="162" t="s">
        <v>23</v>
      </c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</row>
    <row r="374" spans="1:13" ht="15">
      <c r="A374" s="161"/>
      <c r="B374" s="161"/>
      <c r="C374" s="162" t="s">
        <v>4</v>
      </c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</row>
    <row r="375" spans="1:13" ht="15">
      <c r="A375" s="162" t="s">
        <v>5</v>
      </c>
      <c r="B375" s="162" t="s">
        <v>20</v>
      </c>
      <c r="C375" s="162" t="s">
        <v>6</v>
      </c>
      <c r="D375" s="162" t="s">
        <v>7</v>
      </c>
      <c r="E375" s="162" t="s">
        <v>21</v>
      </c>
      <c r="F375" s="162" t="s">
        <v>8</v>
      </c>
      <c r="G375" s="162" t="s">
        <v>9</v>
      </c>
      <c r="H375" s="162" t="s">
        <v>10</v>
      </c>
      <c r="I375" s="162"/>
      <c r="J375" s="162"/>
      <c r="K375" s="162"/>
      <c r="L375" s="162"/>
      <c r="M375" s="162" t="s">
        <v>11</v>
      </c>
    </row>
    <row r="376" spans="1:13" ht="15">
      <c r="A376" s="162"/>
      <c r="B376" s="162"/>
      <c r="C376" s="162"/>
      <c r="D376" s="162"/>
      <c r="E376" s="162"/>
      <c r="F376" s="162"/>
      <c r="G376" s="162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62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63" t="s">
        <v>34</v>
      </c>
      <c r="B378" s="166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64"/>
      <c r="B379" s="167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64"/>
      <c r="B380" s="167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64"/>
      <c r="B381" s="167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64"/>
      <c r="B382" s="167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65"/>
      <c r="B383" s="168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63" t="s">
        <v>42</v>
      </c>
      <c r="B385" s="169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64"/>
      <c r="B386" s="170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64"/>
      <c r="B387" s="170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65"/>
      <c r="B388" s="171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63" t="s">
        <v>44</v>
      </c>
      <c r="B389" s="169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65"/>
      <c r="B390" s="171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63" t="s">
        <v>48</v>
      </c>
      <c r="B391" s="169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65"/>
      <c r="B392" s="171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63" t="s">
        <v>57</v>
      </c>
      <c r="B395" s="169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64"/>
      <c r="B396" s="170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65"/>
      <c r="B397" s="171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63" t="s">
        <v>61</v>
      </c>
      <c r="B398" s="169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65"/>
      <c r="B399" s="171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63" t="s">
        <v>63</v>
      </c>
      <c r="B400" s="169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65"/>
      <c r="B401" s="171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63" t="s">
        <v>65</v>
      </c>
      <c r="B402" s="169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65"/>
      <c r="B403" s="171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63" t="s">
        <v>77</v>
      </c>
      <c r="B407" s="169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64"/>
      <c r="B408" s="170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64"/>
      <c r="B409" s="170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65"/>
      <c r="B410" s="171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72" t="s">
        <v>81</v>
      </c>
      <c r="B412" s="169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103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74"/>
      <c r="B413" s="170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103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74"/>
      <c r="B414" s="170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104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74"/>
      <c r="B415" s="170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104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74"/>
      <c r="B416" s="170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104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74"/>
      <c r="B417" s="170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104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73"/>
      <c r="B418" s="171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105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72" t="s">
        <v>83</v>
      </c>
      <c r="B419" s="169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74"/>
      <c r="B420" s="170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74"/>
      <c r="B421" s="170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74"/>
      <c r="B422" s="170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74"/>
      <c r="B423" s="170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74"/>
      <c r="B424" s="170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74"/>
      <c r="B425" s="170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73"/>
      <c r="B426" s="171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72" t="s">
        <v>91</v>
      </c>
      <c r="B427" s="169" t="s">
        <v>115</v>
      </c>
      <c r="C427" s="16"/>
      <c r="D427" s="16"/>
      <c r="E427" s="16"/>
      <c r="F427" s="17"/>
      <c r="G427" s="16"/>
      <c r="H427" s="5" t="s">
        <v>27</v>
      </c>
      <c r="I427" s="5" t="s">
        <v>92</v>
      </c>
      <c r="J427" s="5" t="s">
        <v>93</v>
      </c>
      <c r="K427" s="5" t="s">
        <v>94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73"/>
      <c r="B428" s="171"/>
      <c r="C428" s="16"/>
      <c r="D428" s="16"/>
      <c r="E428" s="16"/>
      <c r="F428" s="17"/>
      <c r="G428" s="16"/>
      <c r="H428" s="5" t="s">
        <v>27</v>
      </c>
      <c r="I428" s="5" t="s">
        <v>92</v>
      </c>
      <c r="J428" s="5" t="s">
        <v>93</v>
      </c>
      <c r="K428" s="5" t="s">
        <v>94</v>
      </c>
      <c r="L428" s="5" t="s">
        <v>95</v>
      </c>
      <c r="M428" s="10">
        <f>'[1]бюджетная роспись 15-16гг.'!$J$300/1000</f>
        <v>63222</v>
      </c>
    </row>
    <row r="429" spans="1:13" ht="15" customHeight="1">
      <c r="A429" s="172" t="s">
        <v>98</v>
      </c>
      <c r="B429" s="169" t="s">
        <v>116</v>
      </c>
      <c r="C429" s="16"/>
      <c r="D429" s="16"/>
      <c r="E429" s="16"/>
      <c r="F429" s="17"/>
      <c r="G429" s="16"/>
      <c r="H429" s="5" t="s">
        <v>27</v>
      </c>
      <c r="I429" s="5" t="s">
        <v>92</v>
      </c>
      <c r="J429" s="5" t="s">
        <v>93</v>
      </c>
      <c r="K429" s="5" t="s">
        <v>96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74"/>
      <c r="B430" s="170"/>
      <c r="C430" s="16"/>
      <c r="D430" s="16"/>
      <c r="E430" s="16"/>
      <c r="F430" s="17"/>
      <c r="G430" s="16"/>
      <c r="H430" s="5" t="s">
        <v>27</v>
      </c>
      <c r="I430" s="5" t="s">
        <v>92</v>
      </c>
      <c r="J430" s="5" t="s">
        <v>93</v>
      </c>
      <c r="K430" s="5" t="s">
        <v>96</v>
      </c>
      <c r="L430" s="5" t="s">
        <v>97</v>
      </c>
      <c r="M430" s="10">
        <f>'[1]бюджетная роспись 15-16гг.'!$J$307/1000</f>
        <v>13702.8</v>
      </c>
    </row>
    <row r="431" spans="1:13" ht="15" customHeight="1">
      <c r="A431" s="174"/>
      <c r="B431" s="170"/>
      <c r="C431" s="16"/>
      <c r="D431" s="16"/>
      <c r="E431" s="16"/>
      <c r="F431" s="17"/>
      <c r="G431" s="16"/>
      <c r="H431" s="5" t="s">
        <v>27</v>
      </c>
      <c r="I431" s="5" t="s">
        <v>92</v>
      </c>
      <c r="J431" s="5" t="s">
        <v>93</v>
      </c>
      <c r="K431" s="5" t="s">
        <v>99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74"/>
      <c r="B432" s="170"/>
      <c r="C432" s="16"/>
      <c r="D432" s="16"/>
      <c r="E432" s="16"/>
      <c r="F432" s="17"/>
      <c r="G432" s="16"/>
      <c r="H432" s="5" t="s">
        <v>27</v>
      </c>
      <c r="I432" s="5" t="s">
        <v>92</v>
      </c>
      <c r="J432" s="5" t="s">
        <v>93</v>
      </c>
      <c r="K432" s="5" t="s">
        <v>99</v>
      </c>
      <c r="L432" s="5" t="s">
        <v>97</v>
      </c>
      <c r="M432" s="10">
        <f>'[1]бюджетная роспись 15-16гг.'!$J$314/1000</f>
        <v>8252.4</v>
      </c>
    </row>
    <row r="433" spans="1:13" ht="15" customHeight="1">
      <c r="A433" s="174"/>
      <c r="B433" s="170"/>
      <c r="C433" s="16"/>
      <c r="D433" s="16"/>
      <c r="E433" s="16"/>
      <c r="F433" s="17"/>
      <c r="G433" s="16"/>
      <c r="H433" s="5" t="s">
        <v>27</v>
      </c>
      <c r="I433" s="5" t="s">
        <v>92</v>
      </c>
      <c r="J433" s="5" t="s">
        <v>93</v>
      </c>
      <c r="K433" s="5" t="s">
        <v>100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73"/>
      <c r="B434" s="171"/>
      <c r="C434" s="16"/>
      <c r="D434" s="16"/>
      <c r="E434" s="16"/>
      <c r="F434" s="17"/>
      <c r="G434" s="16"/>
      <c r="H434" s="5" t="s">
        <v>27</v>
      </c>
      <c r="I434" s="5" t="s">
        <v>92</v>
      </c>
      <c r="J434" s="5" t="s">
        <v>93</v>
      </c>
      <c r="K434" s="5" t="s">
        <v>100</v>
      </c>
      <c r="L434" s="5" t="s">
        <v>97</v>
      </c>
      <c r="M434" s="10">
        <f>'[1]бюджетная роспись 15-16гг.'!$J$321/1000</f>
        <v>73398.1</v>
      </c>
    </row>
    <row r="435" spans="1:13" ht="165.75">
      <c r="A435" s="6" t="s">
        <v>101</v>
      </c>
      <c r="B435" s="6" t="s">
        <v>117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102</v>
      </c>
      <c r="L435" s="5" t="s">
        <v>95</v>
      </c>
      <c r="M435" s="10">
        <f>'[1]бюджетная роспись 15-16гг.'!$J$166/1000</f>
        <v>3578.4</v>
      </c>
    </row>
    <row r="436" spans="1:13" ht="15">
      <c r="A436" s="161" t="s">
        <v>19</v>
      </c>
      <c r="B436" s="161"/>
      <c r="C436" s="161"/>
      <c r="D436" s="161"/>
      <c r="E436" s="161"/>
      <c r="F436" s="161"/>
      <c r="G436" s="161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  <mergeCell ref="B419:B426"/>
    <mergeCell ref="A398:A399"/>
    <mergeCell ref="B398:B399"/>
    <mergeCell ref="A400:A401"/>
    <mergeCell ref="B400:B401"/>
    <mergeCell ref="A402:A403"/>
    <mergeCell ref="B402:B403"/>
    <mergeCell ref="A389:A390"/>
    <mergeCell ref="B389:B390"/>
    <mergeCell ref="A391:A392"/>
    <mergeCell ref="B391:B392"/>
    <mergeCell ref="A395:A397"/>
    <mergeCell ref="B395:B397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A330:A331"/>
    <mergeCell ref="B330:B331"/>
    <mergeCell ref="A335:A338"/>
    <mergeCell ref="B335:B338"/>
    <mergeCell ref="A340:A346"/>
    <mergeCell ref="B340:B346"/>
    <mergeCell ref="A323:A325"/>
    <mergeCell ref="B323:B325"/>
    <mergeCell ref="A326:A327"/>
    <mergeCell ref="B326:B327"/>
    <mergeCell ref="A328:A329"/>
    <mergeCell ref="B328:B329"/>
    <mergeCell ref="A313:A316"/>
    <mergeCell ref="B313:B316"/>
    <mergeCell ref="A317:A318"/>
    <mergeCell ref="B317:B318"/>
    <mergeCell ref="A319:A320"/>
    <mergeCell ref="B319:B320"/>
    <mergeCell ref="F303:F304"/>
    <mergeCell ref="G303:G304"/>
    <mergeCell ref="H303:L303"/>
    <mergeCell ref="M303:M304"/>
    <mergeCell ref="A306:A311"/>
    <mergeCell ref="B306:B311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A292:G292"/>
    <mergeCell ref="A295:M295"/>
    <mergeCell ref="A296:M296"/>
    <mergeCell ref="A297:M297"/>
    <mergeCell ref="B285:B290"/>
    <mergeCell ref="A285:A290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54:A255"/>
    <mergeCell ref="B254:B255"/>
    <mergeCell ref="A256:A257"/>
    <mergeCell ref="B256:B257"/>
    <mergeCell ref="A258:A259"/>
    <mergeCell ref="B258:B259"/>
    <mergeCell ref="A245:A246"/>
    <mergeCell ref="B245:B246"/>
    <mergeCell ref="A247:A248"/>
    <mergeCell ref="B247:B248"/>
    <mergeCell ref="A251:A253"/>
    <mergeCell ref="B251:B253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A186:A187"/>
    <mergeCell ref="B186:B187"/>
    <mergeCell ref="A191:A194"/>
    <mergeCell ref="B191:B194"/>
    <mergeCell ref="A196:A202"/>
    <mergeCell ref="B196:B202"/>
    <mergeCell ref="A179:A181"/>
    <mergeCell ref="B179:B181"/>
    <mergeCell ref="A182:A183"/>
    <mergeCell ref="B182:B183"/>
    <mergeCell ref="A184:A185"/>
    <mergeCell ref="B184:B185"/>
    <mergeCell ref="A169:A172"/>
    <mergeCell ref="B169:B172"/>
    <mergeCell ref="A173:A174"/>
    <mergeCell ref="B173:B174"/>
    <mergeCell ref="A175:A176"/>
    <mergeCell ref="B175:B176"/>
    <mergeCell ref="F159:F160"/>
    <mergeCell ref="G159:G160"/>
    <mergeCell ref="H159:L159"/>
    <mergeCell ref="M159:M160"/>
    <mergeCell ref="A162:A167"/>
    <mergeCell ref="B162:B167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A148:G148"/>
    <mergeCell ref="A151:M151"/>
    <mergeCell ref="A152:M152"/>
    <mergeCell ref="A153:M153"/>
    <mergeCell ref="B141:B146"/>
    <mergeCell ref="A141:A146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10:A111"/>
    <mergeCell ref="B110:B111"/>
    <mergeCell ref="A112:A113"/>
    <mergeCell ref="B112:B113"/>
    <mergeCell ref="A114:A115"/>
    <mergeCell ref="B114:B115"/>
    <mergeCell ref="A101:A102"/>
    <mergeCell ref="B101:B102"/>
    <mergeCell ref="A103:A104"/>
    <mergeCell ref="B103:B104"/>
    <mergeCell ref="A107:A109"/>
    <mergeCell ref="B107:B109"/>
    <mergeCell ref="H87:L87"/>
    <mergeCell ref="M87:M88"/>
    <mergeCell ref="A90:A95"/>
    <mergeCell ref="B90:B95"/>
    <mergeCell ref="A97:A100"/>
    <mergeCell ref="B97:B100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A76:G76"/>
    <mergeCell ref="A79:M79"/>
    <mergeCell ref="A80:M80"/>
    <mergeCell ref="A81:M81"/>
    <mergeCell ref="A82:M82"/>
    <mergeCell ref="A83:M83"/>
    <mergeCell ref="B69:B74"/>
    <mergeCell ref="A69:A74"/>
    <mergeCell ref="G69:G74"/>
    <mergeCell ref="A67:A68"/>
    <mergeCell ref="B67:B68"/>
    <mergeCell ref="G67:G68"/>
    <mergeCell ref="A52:A58"/>
    <mergeCell ref="B52:B58"/>
    <mergeCell ref="G52:G58"/>
    <mergeCell ref="A59:A66"/>
    <mergeCell ref="B59:B66"/>
    <mergeCell ref="G59:G66"/>
    <mergeCell ref="A42:A43"/>
    <mergeCell ref="B42:B43"/>
    <mergeCell ref="G42:G43"/>
    <mergeCell ref="A47:A50"/>
    <mergeCell ref="B47:B50"/>
    <mergeCell ref="G47:G50"/>
    <mergeCell ref="A38:A39"/>
    <mergeCell ref="B38:B39"/>
    <mergeCell ref="G38:G39"/>
    <mergeCell ref="A40:A41"/>
    <mergeCell ref="B40:B41"/>
    <mergeCell ref="G40:G41"/>
    <mergeCell ref="A31:A32"/>
    <mergeCell ref="B31:B32"/>
    <mergeCell ref="G31:G32"/>
    <mergeCell ref="A35:A37"/>
    <mergeCell ref="B35:B37"/>
    <mergeCell ref="G35:G37"/>
    <mergeCell ref="A25:A28"/>
    <mergeCell ref="B25:B28"/>
    <mergeCell ref="G25:G28"/>
    <mergeCell ref="A29:A30"/>
    <mergeCell ref="B29:B30"/>
    <mergeCell ref="G29:G30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2019-12-20T12:05:59Z</cp:lastPrinted>
  <dcterms:created xsi:type="dcterms:W3CDTF">2014-06-08T13:29:20Z</dcterms:created>
  <dcterms:modified xsi:type="dcterms:W3CDTF">2020-01-09T07:57:00Z</dcterms:modified>
  <cp:category/>
  <cp:version/>
  <cp:contentType/>
  <cp:contentStatus/>
</cp:coreProperties>
</file>