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135" tabRatio="387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</externalReferences>
  <definedNames>
    <definedName name="_xlnm.Print_Titles" localSheetId="0">'Лист1'!$20:$23</definedName>
    <definedName name="_xlnm.Print_Titles" localSheetId="1">'Лист1 (2)'!$19:$22</definedName>
    <definedName name="_xlnm.Print_Area" localSheetId="0">'Лист1'!$A$1:$P$47</definedName>
    <definedName name="_xlnm.Print_Area" localSheetId="1">'Лист1 (2)'!$A$1:$T$49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  <author>Сметанина Н.А.</author>
  </authors>
  <commentList>
    <comment ref="O45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M52" authorId="1">
      <text>
        <r>
          <rPr>
            <b/>
            <sz val="9"/>
            <rFont val="Tahoma"/>
            <family val="2"/>
          </rPr>
          <t>Сметанина Н.А.:</t>
        </r>
        <r>
          <rPr>
            <sz val="9"/>
            <rFont val="Tahoma"/>
            <family val="2"/>
          </rPr>
          <t xml:space="preserve">
5 076,2 - 612 по первоначальному плану на 2020 год
-45,2 -612 снимают декабрьской думой</t>
        </r>
      </text>
    </comment>
  </commentList>
</comments>
</file>

<file path=xl/sharedStrings.xml><?xml version="1.0" encoding="utf-8"?>
<sst xmlns="http://schemas.openxmlformats.org/spreadsheetml/2006/main" count="207" uniqueCount="116">
  <si>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</si>
  <si>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</si>
  <si>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</si>
  <si>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</si>
  <si>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</si>
  <si>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</si>
  <si>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</si>
  <si>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</si>
  <si>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</si>
  <si>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</si>
  <si>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</si>
  <si>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</si>
  <si>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</si>
  <si>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</si>
  <si>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</si>
  <si>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</si>
  <si>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</si>
  <si>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</si>
  <si>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</si>
  <si>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</si>
  <si>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</si>
  <si>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</si>
  <si>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</si>
  <si>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</si>
  <si>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</si>
  <si>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</si>
  <si>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</si>
  <si>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</si>
  <si>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</si>
  <si>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</si>
  <si>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</si>
  <si>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</si>
  <si>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</si>
  <si>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</si>
  <si>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</si>
  <si>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</si>
  <si>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</si>
  <si>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</si>
  <si>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</si>
  <si>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</si>
  <si>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</si>
  <si>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</si>
  <si>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</si>
  <si>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</si>
  <si>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</si>
  <si>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</si>
  <si>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</si>
  <si>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</si>
  <si>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</si>
  <si>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</si>
  <si>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</si>
  <si>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</si>
  <si>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</si>
  <si>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</si>
  <si>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</si>
  <si>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</si>
  <si>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1-4 кл</t>
  </si>
  <si>
    <t>5-9 кл</t>
  </si>
  <si>
    <t>10-11 кл</t>
  </si>
  <si>
    <t>всего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</si>
  <si>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</si>
  <si>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</si>
  <si>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</si>
  <si>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</si>
  <si>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</si>
  <si>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</si>
  <si>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</si>
  <si>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</si>
  <si>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</si>
  <si>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сады субв</t>
  </si>
  <si>
    <t>сады местн.</t>
  </si>
  <si>
    <t>школы местн+субв</t>
  </si>
  <si>
    <t>допы</t>
  </si>
  <si>
    <t>лаг.</t>
  </si>
  <si>
    <t>мер.</t>
  </si>
  <si>
    <t>индикатор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</si>
  <si>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</si>
  <si>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</si>
  <si>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</si>
  <si>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</si>
  <si>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</si>
  <si>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</si>
  <si>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единица</t>
  </si>
  <si>
    <t>сред.2021</t>
  </si>
  <si>
    <t>на 01.09.2019</t>
  </si>
  <si>
    <t>на 01.09.2020</t>
  </si>
  <si>
    <t>на 01.09.2021</t>
  </si>
  <si>
    <t>2023 г</t>
  </si>
  <si>
    <t>2022 г</t>
  </si>
  <si>
    <t>2024 г</t>
  </si>
  <si>
    <t>2025 г</t>
  </si>
  <si>
    <t>2026 г</t>
  </si>
  <si>
    <t>2021 г</t>
  </si>
  <si>
    <t>«Развитие образования в городе Пензе на 2020 - 2026 годы»</t>
  </si>
  <si>
    <t>Мероприятие. 1.7. Организация отдыха детей в загородных стационарных детских лагерях в каникулярное время</t>
  </si>
  <si>
    <t>Мероприятие 1.17. Организация мероприятий в общеобразовательных учреждениях и учреждениях дополнительного образования</t>
  </si>
  <si>
    <r>
      <t>«</t>
    </r>
    <r>
      <rPr>
        <u val="single"/>
        <sz val="11"/>
        <rFont val="Times New Roman"/>
        <family val="1"/>
      </rPr>
      <t>Развитие образования в городе Пензе на 2020 - 2026 годы</t>
    </r>
    <r>
      <rPr>
        <sz val="11"/>
        <rFont val="Times New Roman"/>
        <family val="1"/>
      </rPr>
      <t>»</t>
    </r>
  </si>
  <si>
    <t>Реализация адаптированных основных общеобразовательных программ основного общего образования</t>
  </si>
  <si>
    <t>Реализация адаптированных основных общеобразовательных программ среднего общего образования</t>
  </si>
  <si>
    <t>на 01.09.2022</t>
  </si>
  <si>
    <t>сред.2022</t>
  </si>
  <si>
    <t>все дети</t>
  </si>
  <si>
    <t>в т.ч.</t>
  </si>
  <si>
    <t>обычные</t>
  </si>
  <si>
    <t>адаптированные</t>
  </si>
  <si>
    <t>местные всего</t>
  </si>
  <si>
    <t>1-4 ад</t>
  </si>
  <si>
    <t>5-9 ад</t>
  </si>
  <si>
    <t>10-11 ад</t>
  </si>
  <si>
    <t>1-4 обычн</t>
  </si>
  <si>
    <t>5-9 обычн</t>
  </si>
  <si>
    <t>10-11 обычн</t>
  </si>
  <si>
    <t>Содержание детей</t>
  </si>
  <si>
    <t>на 01.09.2023</t>
  </si>
  <si>
    <t>сред.2023</t>
  </si>
  <si>
    <t xml:space="preserve">                  от 30.12.2020  №1917/6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</si>
</sst>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#,##0.000000000000000"/>
    <numFmt numFmtId="175" formatCode="#,##0.0000"/>
    <numFmt numFmtId="176" formatCode="0.0"/>
    <numFmt numFmtId="177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.5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9" fillId="33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172" fontId="58" fillId="0" borderId="0" xfId="0" applyNumberFormat="1" applyFont="1" applyFill="1" applyAlignment="1">
      <alignment/>
    </xf>
    <xf numFmtId="172" fontId="58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/>
    </xf>
    <xf numFmtId="172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 horizontal="justify"/>
    </xf>
    <xf numFmtId="173" fontId="60" fillId="0" borderId="0" xfId="0" applyNumberFormat="1" applyFont="1" applyFill="1" applyAlignment="1">
      <alignment/>
    </xf>
    <xf numFmtId="173" fontId="58" fillId="0" borderId="0" xfId="0" applyNumberFormat="1" applyFont="1" applyFill="1" applyAlignment="1">
      <alignment horizontal="center"/>
    </xf>
    <xf numFmtId="172" fontId="58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right"/>
    </xf>
    <xf numFmtId="0" fontId="61" fillId="0" borderId="0" xfId="0" applyFont="1" applyFill="1" applyAlignment="1">
      <alignment/>
    </xf>
    <xf numFmtId="173" fontId="59" fillId="0" borderId="0" xfId="0" applyNumberFormat="1" applyFont="1" applyFill="1" applyBorder="1" applyAlignment="1">
      <alignment/>
    </xf>
    <xf numFmtId="173" fontId="59" fillId="0" borderId="0" xfId="0" applyNumberFormat="1" applyFont="1" applyFill="1" applyAlignment="1">
      <alignment/>
    </xf>
    <xf numFmtId="172" fontId="58" fillId="0" borderId="0" xfId="0" applyNumberFormat="1" applyFont="1" applyFill="1" applyBorder="1" applyAlignment="1">
      <alignment/>
    </xf>
    <xf numFmtId="172" fontId="59" fillId="0" borderId="0" xfId="0" applyNumberFormat="1" applyFont="1" applyFill="1" applyAlignment="1">
      <alignment/>
    </xf>
    <xf numFmtId="177" fontId="58" fillId="0" borderId="0" xfId="0" applyNumberFormat="1" applyFont="1" applyFill="1" applyAlignment="1">
      <alignment/>
    </xf>
    <xf numFmtId="177" fontId="59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175" fontId="9" fillId="0" borderId="0" xfId="0" applyNumberFormat="1" applyFont="1" applyFill="1" applyAlignment="1">
      <alignment/>
    </xf>
    <xf numFmtId="172" fontId="12" fillId="0" borderId="10" xfId="0" applyNumberFormat="1" applyFont="1" applyFill="1" applyBorder="1" applyAlignment="1">
      <alignment/>
    </xf>
    <xf numFmtId="172" fontId="19" fillId="0" borderId="0" xfId="0" applyNumberFormat="1" applyFont="1" applyFill="1" applyAlignment="1">
      <alignment/>
    </xf>
    <xf numFmtId="172" fontId="9" fillId="0" borderId="10" xfId="0" applyNumberFormat="1" applyFont="1" applyFill="1" applyBorder="1" applyAlignment="1">
      <alignment horizontal="right" vertical="top" wrapText="1"/>
    </xf>
    <xf numFmtId="177" fontId="17" fillId="0" borderId="10" xfId="0" applyNumberFormat="1" applyFont="1" applyFill="1" applyBorder="1" applyAlignment="1">
      <alignment horizontal="right" vertical="top" wrapText="1"/>
    </xf>
    <xf numFmtId="177" fontId="17" fillId="0" borderId="10" xfId="0" applyNumberFormat="1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172" fontId="9" fillId="0" borderId="0" xfId="0" applyNumberFormat="1" applyFont="1" applyFill="1" applyBorder="1" applyAlignment="1">
      <alignment/>
    </xf>
    <xf numFmtId="177" fontId="13" fillId="0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right" vertical="top" wrapText="1"/>
    </xf>
    <xf numFmtId="177" fontId="14" fillId="0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/>
    </xf>
    <xf numFmtId="172" fontId="9" fillId="0" borderId="11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177" fontId="12" fillId="0" borderId="10" xfId="0" applyNumberFormat="1" applyFont="1" applyFill="1" applyBorder="1" applyAlignment="1">
      <alignment/>
    </xf>
    <xf numFmtId="177" fontId="19" fillId="0" borderId="0" xfId="0" applyNumberFormat="1" applyFont="1" applyFill="1" applyAlignment="1">
      <alignment/>
    </xf>
    <xf numFmtId="177" fontId="9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 horizontal="center"/>
    </xf>
    <xf numFmtId="173" fontId="9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center"/>
    </xf>
    <xf numFmtId="0" fontId="40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%203%20(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%203%20(6)%20&#1080;&#1089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2015-2020"/>
      <sheetName val="Лист2"/>
      <sheetName val="Лист3"/>
    </sheetNames>
    <sheetDataSet>
      <sheetData sheetId="0">
        <row r="27">
          <cell r="M27">
            <v>1881102.249</v>
          </cell>
        </row>
        <row r="28">
          <cell r="M28">
            <v>35184.951</v>
          </cell>
        </row>
        <row r="29">
          <cell r="M29">
            <v>1913617.602</v>
          </cell>
        </row>
        <row r="30">
          <cell r="M30">
            <v>31260.028000000002</v>
          </cell>
        </row>
        <row r="36">
          <cell r="M36">
            <v>377791.7</v>
          </cell>
        </row>
        <row r="37">
          <cell r="M37">
            <v>5916</v>
          </cell>
        </row>
        <row r="38">
          <cell r="M38">
            <v>418.9</v>
          </cell>
        </row>
        <row r="39">
          <cell r="M39">
            <v>23.9</v>
          </cell>
        </row>
        <row r="40">
          <cell r="M40">
            <v>7960.1</v>
          </cell>
        </row>
        <row r="41">
          <cell r="M41">
            <v>453.9</v>
          </cell>
        </row>
        <row r="42">
          <cell r="M42">
            <v>108544.2</v>
          </cell>
        </row>
        <row r="43">
          <cell r="M43">
            <v>35402.9</v>
          </cell>
        </row>
        <row r="44">
          <cell r="M44">
            <v>5133.3</v>
          </cell>
        </row>
        <row r="45">
          <cell r="M45">
            <v>921.1</v>
          </cell>
        </row>
        <row r="46">
          <cell r="M46">
            <v>21.4</v>
          </cell>
        </row>
        <row r="47">
          <cell r="M47">
            <v>199728.99999999997</v>
          </cell>
        </row>
        <row r="48">
          <cell r="M48">
            <v>17500.7</v>
          </cell>
        </row>
        <row r="49">
          <cell r="M49">
            <v>405.9</v>
          </cell>
        </row>
        <row r="50">
          <cell r="M50">
            <v>27067.6</v>
          </cell>
        </row>
        <row r="55">
          <cell r="M55">
            <v>7755.52</v>
          </cell>
        </row>
        <row r="89">
          <cell r="M89">
            <v>12.4</v>
          </cell>
        </row>
        <row r="90">
          <cell r="M90">
            <v>172.96399999999997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2015-2020"/>
      <sheetName val="Лист2"/>
      <sheetName val="Лист3"/>
    </sheetNames>
    <sheetDataSet>
      <sheetData sheetId="0">
        <row r="20">
          <cell r="M20">
            <v>556103.71579</v>
          </cell>
        </row>
        <row r="21">
          <cell r="M21">
            <v>10243.1</v>
          </cell>
        </row>
        <row r="22">
          <cell r="M22">
            <v>3795.83684</v>
          </cell>
        </row>
        <row r="23">
          <cell r="M23">
            <v>18.1</v>
          </cell>
        </row>
        <row r="24">
          <cell r="M24">
            <v>72121.79999999999</v>
          </cell>
        </row>
        <row r="25">
          <cell r="M25">
            <v>344.3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79" t="s">
        <v>48</v>
      </c>
      <c r="O1" s="79"/>
      <c r="P1" s="79"/>
    </row>
    <row r="2" spans="13:16" ht="15">
      <c r="M2" s="80" t="s">
        <v>45</v>
      </c>
      <c r="N2" s="80"/>
      <c r="O2" s="80"/>
      <c r="P2" s="80"/>
    </row>
    <row r="3" spans="13:16" ht="15">
      <c r="M3" s="10"/>
      <c r="N3" s="81" t="s">
        <v>46</v>
      </c>
      <c r="O3" s="81"/>
      <c r="P3" s="81"/>
    </row>
    <row r="4" spans="13:16" ht="15">
      <c r="M4" s="10"/>
      <c r="N4" s="11"/>
      <c r="O4" s="11"/>
      <c r="P4" s="11"/>
    </row>
    <row r="5" ht="15"/>
    <row r="6" spans="11:16" ht="15">
      <c r="K6" s="78" t="s">
        <v>32</v>
      </c>
      <c r="L6" s="78"/>
      <c r="M6" s="78"/>
      <c r="N6" s="78"/>
      <c r="O6" s="78"/>
      <c r="P6" s="78"/>
    </row>
    <row r="7" spans="11:16" ht="15">
      <c r="K7" s="78" t="s">
        <v>21</v>
      </c>
      <c r="L7" s="78"/>
      <c r="M7" s="78"/>
      <c r="N7" s="78"/>
      <c r="O7" s="78"/>
      <c r="P7" s="78"/>
    </row>
    <row r="8" spans="11:16" ht="15">
      <c r="K8" s="78" t="s">
        <v>33</v>
      </c>
      <c r="L8" s="78"/>
      <c r="M8" s="78"/>
      <c r="N8" s="78"/>
      <c r="O8" s="78"/>
      <c r="P8" s="78"/>
    </row>
    <row r="9" ht="15"/>
    <row r="10" ht="15" hidden="1"/>
    <row r="11" ht="15"/>
    <row r="12" ht="15">
      <c r="A12" s="12"/>
    </row>
    <row r="13" spans="1:16" ht="15">
      <c r="A13" s="97" t="s">
        <v>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1:16" ht="15">
      <c r="A14" s="97" t="s">
        <v>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16" ht="15">
      <c r="A15" s="97" t="s">
        <v>2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 ht="15">
      <c r="A16" s="97" t="s">
        <v>34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1:16" ht="15">
      <c r="A17" s="97" t="s">
        <v>35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0" spans="1:16" ht="15">
      <c r="A20" s="83" t="s">
        <v>36</v>
      </c>
      <c r="B20" s="83" t="s">
        <v>3</v>
      </c>
      <c r="C20" s="83" t="s">
        <v>4</v>
      </c>
      <c r="D20" s="89" t="s">
        <v>31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</row>
    <row r="21" spans="1:16" s="6" customFormat="1" ht="12.75">
      <c r="A21" s="83"/>
      <c r="B21" s="83"/>
      <c r="C21" s="83"/>
      <c r="D21" s="83" t="s">
        <v>14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s="6" customFormat="1" ht="27" customHeight="1">
      <c r="A22" s="83"/>
      <c r="B22" s="83"/>
      <c r="C22" s="83"/>
      <c r="D22" s="88" t="s">
        <v>5</v>
      </c>
      <c r="E22" s="83" t="s">
        <v>6</v>
      </c>
      <c r="F22" s="83"/>
      <c r="G22" s="83"/>
      <c r="H22" s="83"/>
      <c r="I22" s="83"/>
      <c r="J22" s="83"/>
      <c r="K22" s="83" t="s">
        <v>7</v>
      </c>
      <c r="L22" s="83"/>
      <c r="M22" s="83"/>
      <c r="N22" s="83"/>
      <c r="O22" s="83"/>
      <c r="P22" s="83"/>
    </row>
    <row r="23" spans="1:16" s="6" customFormat="1" ht="30" customHeight="1">
      <c r="A23" s="83"/>
      <c r="B23" s="83"/>
      <c r="C23" s="83"/>
      <c r="D23" s="88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94"/>
      <c r="B24" s="92" t="s">
        <v>15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s="6" customFormat="1" ht="16.5" customHeight="1">
      <c r="A25" s="95"/>
      <c r="B25" s="93" t="s">
        <v>14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s="6" customFormat="1" ht="25.5" customHeight="1">
      <c r="A26" s="95"/>
      <c r="B26" s="84" t="s">
        <v>37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s="6" customFormat="1" ht="26.25" customHeight="1">
      <c r="A27" s="96"/>
      <c r="B27" s="85" t="s">
        <v>41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94"/>
      <c r="B29" s="84" t="s">
        <v>42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s="6" customFormat="1" ht="27.75" customHeight="1">
      <c r="A30" s="96"/>
      <c r="B30" s="85" t="s">
        <v>41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82" t="s">
        <v>38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82" t="s">
        <v>39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82" t="s">
        <v>40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82" t="s">
        <v>43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A19:P19"/>
    <mergeCell ref="A13:P13"/>
    <mergeCell ref="A14:P14"/>
    <mergeCell ref="A15:P15"/>
    <mergeCell ref="A16:P16"/>
    <mergeCell ref="A17:P17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K6:P6"/>
    <mergeCell ref="K7:P7"/>
    <mergeCell ref="K8:P8"/>
    <mergeCell ref="N1:P1"/>
    <mergeCell ref="M2:P2"/>
    <mergeCell ref="N3:P3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7"/>
  <sheetViews>
    <sheetView tabSelected="1" view="pageBreakPreview" zoomScaleSheetLayoutView="100" zoomScalePageLayoutView="0" workbookViewId="0" topLeftCell="A1">
      <selection activeCell="T4" sqref="T4"/>
    </sheetView>
  </sheetViews>
  <sheetFormatPr defaultColWidth="9.140625" defaultRowHeight="15"/>
  <cols>
    <col min="1" max="1" width="5.00390625" style="17" customWidth="1"/>
    <col min="2" max="2" width="28.421875" style="17" customWidth="1"/>
    <col min="3" max="3" width="12.7109375" style="17" customWidth="1"/>
    <col min="4" max="4" width="12.00390625" style="17" customWidth="1"/>
    <col min="5" max="5" width="6.7109375" style="17" customWidth="1"/>
    <col min="6" max="7" width="7.28125" style="17" customWidth="1"/>
    <col min="8" max="8" width="7.8515625" style="17" customWidth="1"/>
    <col min="9" max="9" width="7.7109375" style="17" customWidth="1"/>
    <col min="10" max="10" width="7.421875" style="17" customWidth="1"/>
    <col min="11" max="11" width="7.140625" style="17" customWidth="1"/>
    <col min="12" max="12" width="11.28125" style="17" customWidth="1"/>
    <col min="13" max="13" width="12.8515625" style="17" bestFit="1" customWidth="1"/>
    <col min="14" max="14" width="11.140625" style="17" customWidth="1"/>
    <col min="15" max="15" width="11.421875" style="17" customWidth="1"/>
    <col min="16" max="19" width="11.140625" style="17" bestFit="1" customWidth="1"/>
    <col min="20" max="20" width="11.7109375" style="17" customWidth="1"/>
    <col min="21" max="21" width="9.140625" style="17" customWidth="1"/>
    <col min="22" max="22" width="11.00390625" style="17" customWidth="1"/>
    <col min="23" max="27" width="12.140625" style="17" hidden="1" customWidth="1"/>
    <col min="28" max="28" width="13.140625" style="17" hidden="1" customWidth="1"/>
    <col min="29" max="30" width="12.7109375" style="17" hidden="1" customWidth="1"/>
    <col min="31" max="31" width="12.421875" style="17" hidden="1" customWidth="1"/>
    <col min="32" max="32" width="11.421875" style="17" hidden="1" customWidth="1"/>
    <col min="33" max="33" width="3.8515625" style="17" hidden="1" customWidth="1"/>
    <col min="34" max="34" width="9.140625" style="17" hidden="1" customWidth="1"/>
    <col min="35" max="35" width="14.140625" style="17" hidden="1" customWidth="1"/>
    <col min="36" max="36" width="12.140625" style="17" hidden="1" customWidth="1"/>
    <col min="37" max="37" width="11.8515625" style="17" hidden="1" customWidth="1"/>
    <col min="38" max="39" width="12.140625" style="17" hidden="1" customWidth="1"/>
    <col min="40" max="40" width="9.421875" style="17" hidden="1" customWidth="1"/>
    <col min="41" max="43" width="9.140625" style="17" hidden="1" customWidth="1"/>
    <col min="44" max="16384" width="9.140625" style="17" customWidth="1"/>
  </cols>
  <sheetData>
    <row r="1" ht="15">
      <c r="T1" s="27" t="s">
        <v>48</v>
      </c>
    </row>
    <row r="2" ht="15">
      <c r="T2" s="27" t="s">
        <v>45</v>
      </c>
    </row>
    <row r="3" ht="15">
      <c r="T3" s="27" t="s">
        <v>115</v>
      </c>
    </row>
    <row r="4" ht="15"/>
    <row r="5" spans="15:30" s="20" customFormat="1" ht="15">
      <c r="O5" s="80" t="s">
        <v>32</v>
      </c>
      <c r="P5" s="80"/>
      <c r="Q5" s="80"/>
      <c r="R5" s="80"/>
      <c r="S5" s="80"/>
      <c r="T5" s="80"/>
      <c r="V5" s="17"/>
      <c r="W5" s="17"/>
      <c r="X5" s="17"/>
      <c r="Y5" s="17"/>
      <c r="Z5" s="17"/>
      <c r="AA5" s="17"/>
      <c r="AB5" s="17"/>
      <c r="AC5" s="17"/>
      <c r="AD5" s="17"/>
    </row>
    <row r="6" spans="15:30" s="20" customFormat="1" ht="15">
      <c r="O6" s="30"/>
      <c r="P6" s="30"/>
      <c r="Q6" s="30"/>
      <c r="R6" s="30"/>
      <c r="S6" s="30"/>
      <c r="T6" s="27" t="s">
        <v>21</v>
      </c>
      <c r="V6" s="17"/>
      <c r="W6" s="17"/>
      <c r="X6" s="17"/>
      <c r="Y6" s="17"/>
      <c r="Z6" s="17"/>
      <c r="AA6" s="17"/>
      <c r="AB6" s="17"/>
      <c r="AC6" s="17"/>
      <c r="AD6" s="17"/>
    </row>
    <row r="7" spans="15:30" s="20" customFormat="1" ht="15">
      <c r="O7" s="30"/>
      <c r="P7" s="30"/>
      <c r="Q7" s="30"/>
      <c r="R7" s="30"/>
      <c r="S7" s="30"/>
      <c r="T7" s="27" t="s">
        <v>93</v>
      </c>
      <c r="V7" s="17"/>
      <c r="W7" s="17"/>
      <c r="X7" s="17"/>
      <c r="Y7" s="17"/>
      <c r="Z7" s="17"/>
      <c r="AA7" s="17"/>
      <c r="AB7" s="17"/>
      <c r="AC7" s="17"/>
      <c r="AD7" s="17"/>
    </row>
    <row r="8" ht="15"/>
    <row r="9" ht="15" hidden="1"/>
    <row r="10" ht="15"/>
    <row r="11" spans="1:20" ht="15">
      <c r="A11" s="37"/>
      <c r="Q11" s="38"/>
      <c r="R11" s="38"/>
      <c r="S11" s="38"/>
      <c r="T11" s="38"/>
    </row>
    <row r="12" spans="1:30" s="20" customFormat="1" ht="15">
      <c r="A12" s="102" t="s">
        <v>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s="20" customFormat="1" ht="15">
      <c r="A13" s="102" t="s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s="20" customFormat="1" ht="15">
      <c r="A14" s="102" t="s">
        <v>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s="20" customFormat="1" ht="15">
      <c r="A15" s="102" t="s">
        <v>34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s="20" customFormat="1" ht="15">
      <c r="A16" s="102" t="s">
        <v>96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V16" s="17"/>
      <c r="W16" s="17"/>
      <c r="X16" s="17"/>
      <c r="Y16" s="17"/>
      <c r="Z16" s="17"/>
      <c r="AA16" s="17"/>
      <c r="AB16" s="17"/>
      <c r="AC16" s="17"/>
      <c r="AD16" s="17"/>
    </row>
    <row r="17" spans="1:20" ht="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39"/>
      <c r="R17" s="40"/>
      <c r="S17" s="40"/>
      <c r="T17" s="40"/>
    </row>
    <row r="18" spans="1:20" ht="1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76"/>
    </row>
    <row r="19" spans="1:20" ht="15">
      <c r="A19" s="104" t="s">
        <v>36</v>
      </c>
      <c r="B19" s="104" t="s">
        <v>3</v>
      </c>
      <c r="C19" s="104" t="s">
        <v>4</v>
      </c>
      <c r="D19" s="108" t="s">
        <v>31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s="21" customFormat="1" ht="12.75" customHeight="1">
      <c r="A20" s="104"/>
      <c r="B20" s="104"/>
      <c r="C20" s="104"/>
      <c r="D20" s="104" t="s">
        <v>14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</row>
    <row r="21" spans="1:32" s="21" customFormat="1" ht="27" customHeight="1">
      <c r="A21" s="104"/>
      <c r="B21" s="104"/>
      <c r="C21" s="104"/>
      <c r="D21" s="104" t="s">
        <v>78</v>
      </c>
      <c r="E21" s="99" t="s">
        <v>79</v>
      </c>
      <c r="F21" s="100"/>
      <c r="G21" s="100"/>
      <c r="H21" s="100"/>
      <c r="I21" s="100"/>
      <c r="J21" s="100"/>
      <c r="K21" s="100"/>
      <c r="L21" s="101"/>
      <c r="M21" s="99" t="s">
        <v>80</v>
      </c>
      <c r="N21" s="100"/>
      <c r="O21" s="100"/>
      <c r="P21" s="100"/>
      <c r="Q21" s="100"/>
      <c r="R21" s="100"/>
      <c r="S21" s="100"/>
      <c r="T21" s="101"/>
      <c r="V21" s="41"/>
      <c r="W21" s="23" t="s">
        <v>101</v>
      </c>
      <c r="X21" s="23" t="s">
        <v>84</v>
      </c>
      <c r="Y21" s="23" t="s">
        <v>85</v>
      </c>
      <c r="Z21" s="23" t="s">
        <v>86</v>
      </c>
      <c r="AA21" s="23" t="s">
        <v>99</v>
      </c>
      <c r="AB21" s="23" t="s">
        <v>113</v>
      </c>
      <c r="AC21" s="23" t="s">
        <v>60</v>
      </c>
      <c r="AD21" s="23" t="s">
        <v>83</v>
      </c>
      <c r="AE21" s="23" t="s">
        <v>100</v>
      </c>
      <c r="AF21" s="23" t="s">
        <v>114</v>
      </c>
    </row>
    <row r="22" spans="1:32" s="21" customFormat="1" ht="55.5" customHeight="1">
      <c r="A22" s="104"/>
      <c r="B22" s="104"/>
      <c r="C22" s="104"/>
      <c r="D22" s="104"/>
      <c r="E22" s="4" t="s">
        <v>9</v>
      </c>
      <c r="F22" s="4" t="s">
        <v>92</v>
      </c>
      <c r="G22" s="4" t="s">
        <v>88</v>
      </c>
      <c r="H22" s="4" t="s">
        <v>87</v>
      </c>
      <c r="I22" s="4" t="s">
        <v>89</v>
      </c>
      <c r="J22" s="4" t="s">
        <v>90</v>
      </c>
      <c r="K22" s="4" t="s">
        <v>91</v>
      </c>
      <c r="L22" s="4" t="s">
        <v>81</v>
      </c>
      <c r="M22" s="4" t="s">
        <v>9</v>
      </c>
      <c r="N22" s="4" t="s">
        <v>92</v>
      </c>
      <c r="O22" s="4" t="s">
        <v>88</v>
      </c>
      <c r="P22" s="4" t="s">
        <v>87</v>
      </c>
      <c r="Q22" s="4" t="s">
        <v>89</v>
      </c>
      <c r="R22" s="4" t="s">
        <v>90</v>
      </c>
      <c r="S22" s="4" t="s">
        <v>91</v>
      </c>
      <c r="T22" s="4" t="s">
        <v>81</v>
      </c>
      <c r="W22" s="22" t="s">
        <v>56</v>
      </c>
      <c r="X22" s="22">
        <v>23987</v>
      </c>
      <c r="Y22" s="22">
        <v>24483</v>
      </c>
      <c r="Z22" s="22">
        <v>24655</v>
      </c>
      <c r="AA22" s="22">
        <v>24786</v>
      </c>
      <c r="AB22" s="22">
        <v>24488</v>
      </c>
      <c r="AC22" s="22">
        <f aca="true" t="shared" si="0" ref="AC22:AF23">ROUND((X22*2+Y22)/3,0)</f>
        <v>24152</v>
      </c>
      <c r="AD22" s="22">
        <f t="shared" si="0"/>
        <v>24540</v>
      </c>
      <c r="AE22" s="22">
        <f t="shared" si="0"/>
        <v>24699</v>
      </c>
      <c r="AF22" s="22">
        <f>ROUND((AA22*2+AB22)/3,0)-1</f>
        <v>24686</v>
      </c>
    </row>
    <row r="23" spans="1:32" s="22" customFormat="1" ht="18" customHeight="1">
      <c r="A23" s="104"/>
      <c r="B23" s="107" t="s">
        <v>15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V23" s="21"/>
      <c r="W23" s="22" t="s">
        <v>57</v>
      </c>
      <c r="X23" s="22">
        <v>24233</v>
      </c>
      <c r="Y23" s="22">
        <v>25397</v>
      </c>
      <c r="Z23" s="22">
        <v>26863</v>
      </c>
      <c r="AA23" s="22">
        <v>28138</v>
      </c>
      <c r="AB23" s="22">
        <v>29401</v>
      </c>
      <c r="AC23" s="22">
        <f t="shared" si="0"/>
        <v>24621</v>
      </c>
      <c r="AD23" s="22">
        <f t="shared" si="0"/>
        <v>25886</v>
      </c>
      <c r="AE23" s="22">
        <f t="shared" si="0"/>
        <v>27288</v>
      </c>
      <c r="AF23" s="22">
        <f t="shared" si="0"/>
        <v>28559</v>
      </c>
    </row>
    <row r="24" spans="1:32" s="22" customFormat="1" ht="16.5" customHeight="1">
      <c r="A24" s="104"/>
      <c r="B24" s="98" t="s">
        <v>14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V24" s="21"/>
      <c r="W24" s="22" t="s">
        <v>58</v>
      </c>
      <c r="X24" s="22">
        <v>4694</v>
      </c>
      <c r="Y24" s="22">
        <v>4559</v>
      </c>
      <c r="Z24" s="22">
        <v>4728</v>
      </c>
      <c r="AA24" s="22">
        <v>5094</v>
      </c>
      <c r="AB24" s="22">
        <v>5273</v>
      </c>
      <c r="AC24" s="22">
        <f aca="true" t="shared" si="1" ref="AC24:AF25">ROUND((X24*2+Y24)/3,0)</f>
        <v>4649</v>
      </c>
      <c r="AD24" s="22">
        <f t="shared" si="1"/>
        <v>4615</v>
      </c>
      <c r="AE24" s="22">
        <f t="shared" si="1"/>
        <v>4850</v>
      </c>
      <c r="AF24" s="22">
        <f t="shared" si="1"/>
        <v>5154</v>
      </c>
    </row>
    <row r="25" spans="1:32" s="22" customFormat="1" ht="12.75">
      <c r="A25" s="25"/>
      <c r="B25" s="98" t="s">
        <v>41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V25" s="21"/>
      <c r="W25" s="35" t="s">
        <v>59</v>
      </c>
      <c r="X25" s="35">
        <f>X22+X23+X24</f>
        <v>52914</v>
      </c>
      <c r="Y25" s="35">
        <f>Y22+Y23+Y24</f>
        <v>54439</v>
      </c>
      <c r="Z25" s="35">
        <f>Z22+Z23+Z24</f>
        <v>56246</v>
      </c>
      <c r="AA25" s="35">
        <f>AA22+AA23+AA24</f>
        <v>58018</v>
      </c>
      <c r="AB25" s="35">
        <f>AB22+AB23+AB24</f>
        <v>59162</v>
      </c>
      <c r="AC25" s="35">
        <f t="shared" si="1"/>
        <v>53422</v>
      </c>
      <c r="AD25" s="35">
        <f t="shared" si="1"/>
        <v>55041</v>
      </c>
      <c r="AE25" s="35">
        <f t="shared" si="1"/>
        <v>56837</v>
      </c>
      <c r="AF25" s="35">
        <f t="shared" si="1"/>
        <v>58399</v>
      </c>
    </row>
    <row r="26" spans="1:43" s="21" customFormat="1" ht="43.5" customHeight="1">
      <c r="A26" s="4">
        <v>1</v>
      </c>
      <c r="B26" s="25" t="s">
        <v>50</v>
      </c>
      <c r="C26" s="25" t="s">
        <v>62</v>
      </c>
      <c r="D26" s="4" t="s">
        <v>63</v>
      </c>
      <c r="E26" s="4">
        <v>29138</v>
      </c>
      <c r="F26" s="4">
        <v>28767</v>
      </c>
      <c r="G26" s="4">
        <v>29286</v>
      </c>
      <c r="H26" s="4">
        <v>29760</v>
      </c>
      <c r="I26" s="4">
        <f>H26</f>
        <v>29760</v>
      </c>
      <c r="J26" s="4">
        <f>I26</f>
        <v>29760</v>
      </c>
      <c r="K26" s="4">
        <f>J26</f>
        <v>29760</v>
      </c>
      <c r="L26" s="4">
        <f>H26+I26+J26+K26+G26+E26+F26</f>
        <v>206231</v>
      </c>
      <c r="M26" s="62">
        <f>1911241+3210.7+1789.953+45.547</f>
        <v>1916287.2</v>
      </c>
      <c r="N26" s="58">
        <v>2003664</v>
      </c>
      <c r="O26" s="58">
        <v>2120009.7</v>
      </c>
      <c r="P26" s="3">
        <v>2037338.3</v>
      </c>
      <c r="Q26" s="3">
        <v>2037338.3</v>
      </c>
      <c r="R26" s="3">
        <v>2037338.3</v>
      </c>
      <c r="S26" s="3">
        <v>2037338.3</v>
      </c>
      <c r="T26" s="3">
        <f>P26+Q26+R26+S26+O26+M26+N26</f>
        <v>14189314.1</v>
      </c>
      <c r="W26" s="51" t="s">
        <v>102</v>
      </c>
      <c r="X26" s="23" t="s">
        <v>84</v>
      </c>
      <c r="Y26" s="23" t="s">
        <v>85</v>
      </c>
      <c r="Z26" s="23" t="s">
        <v>86</v>
      </c>
      <c r="AA26" s="23" t="s">
        <v>99</v>
      </c>
      <c r="AB26" s="23" t="s">
        <v>113</v>
      </c>
      <c r="AC26" s="23" t="s">
        <v>60</v>
      </c>
      <c r="AD26" s="23" t="s">
        <v>83</v>
      </c>
      <c r="AE26" s="23" t="s">
        <v>100</v>
      </c>
      <c r="AF26" s="23" t="s">
        <v>114</v>
      </c>
      <c r="AI26" s="23" t="s">
        <v>84</v>
      </c>
      <c r="AJ26" s="23" t="s">
        <v>85</v>
      </c>
      <c r="AK26" s="23" t="s">
        <v>86</v>
      </c>
      <c r="AL26" s="23" t="s">
        <v>99</v>
      </c>
      <c r="AM26" s="23" t="s">
        <v>113</v>
      </c>
      <c r="AN26" s="23" t="s">
        <v>60</v>
      </c>
      <c r="AO26" s="23" t="s">
        <v>83</v>
      </c>
      <c r="AP26" s="23" t="s">
        <v>100</v>
      </c>
      <c r="AQ26" s="23" t="s">
        <v>114</v>
      </c>
    </row>
    <row r="27" spans="1:42" s="22" customFormat="1" ht="17.25" customHeight="1">
      <c r="A27" s="4"/>
      <c r="B27" s="98" t="s">
        <v>37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V27" s="21"/>
      <c r="W27" s="109" t="s">
        <v>104</v>
      </c>
      <c r="X27" s="109"/>
      <c r="Y27" s="50"/>
      <c r="Z27" s="50"/>
      <c r="AA27" s="50"/>
      <c r="AB27" s="50"/>
      <c r="AC27" s="50"/>
      <c r="AD27" s="50"/>
      <c r="AE27" s="50"/>
      <c r="AH27" s="109" t="s">
        <v>103</v>
      </c>
      <c r="AI27" s="109"/>
      <c r="AJ27" s="50"/>
      <c r="AK27" s="50"/>
      <c r="AL27" s="50"/>
      <c r="AM27" s="50"/>
      <c r="AN27" s="50"/>
      <c r="AO27" s="50"/>
      <c r="AP27" s="50"/>
    </row>
    <row r="28" spans="1:43" s="21" customFormat="1" ht="18" customHeight="1">
      <c r="A28" s="4">
        <v>2</v>
      </c>
      <c r="B28" s="25" t="s">
        <v>51</v>
      </c>
      <c r="C28" s="25" t="s">
        <v>66</v>
      </c>
      <c r="D28" s="4" t="s">
        <v>63</v>
      </c>
      <c r="E28" s="4">
        <f>E26</f>
        <v>29138</v>
      </c>
      <c r="F28" s="4">
        <f>F26</f>
        <v>28767</v>
      </c>
      <c r="G28" s="4">
        <f>G26</f>
        <v>29286</v>
      </c>
      <c r="H28" s="4">
        <f>H26</f>
        <v>29760</v>
      </c>
      <c r="I28" s="4">
        <f>H28</f>
        <v>29760</v>
      </c>
      <c r="J28" s="4">
        <f>I28</f>
        <v>29760</v>
      </c>
      <c r="K28" s="4">
        <f>J28</f>
        <v>29760</v>
      </c>
      <c r="L28" s="4">
        <f>H28+I28+J28+K28+G28+E28+F28</f>
        <v>206231</v>
      </c>
      <c r="M28" s="77">
        <f>643233.9-5076.2+1068.41579-65.16316-1238.1-327</f>
        <v>637595.8526300001</v>
      </c>
      <c r="N28" s="58">
        <f>653453.2-5169.4</f>
        <v>648283.7999999999</v>
      </c>
      <c r="O28" s="58">
        <f>673015.2-5345.7</f>
        <v>667669.5</v>
      </c>
      <c r="P28" s="3">
        <v>576600.8</v>
      </c>
      <c r="Q28" s="3">
        <v>576600.8</v>
      </c>
      <c r="R28" s="3">
        <v>576600.8</v>
      </c>
      <c r="S28" s="3">
        <v>576600.8</v>
      </c>
      <c r="T28" s="3">
        <f>P28+Q28+R28+S28+O28+M28+N28</f>
        <v>4259952.352630001</v>
      </c>
      <c r="W28" s="22" t="s">
        <v>56</v>
      </c>
      <c r="X28" s="22">
        <v>621</v>
      </c>
      <c r="Y28" s="22">
        <v>645</v>
      </c>
      <c r="Z28" s="22">
        <v>591</v>
      </c>
      <c r="AA28" s="22">
        <v>533</v>
      </c>
      <c r="AB28" s="22">
        <v>477</v>
      </c>
      <c r="AC28" s="24">
        <f aca="true" t="shared" si="2" ref="AC28:AF30">ROUND((X28*2+Y28)/3,0)</f>
        <v>629</v>
      </c>
      <c r="AD28" s="24">
        <f t="shared" si="2"/>
        <v>627</v>
      </c>
      <c r="AE28" s="24">
        <f t="shared" si="2"/>
        <v>572</v>
      </c>
      <c r="AF28" s="24">
        <f t="shared" si="2"/>
        <v>514</v>
      </c>
      <c r="AH28" s="22" t="s">
        <v>56</v>
      </c>
      <c r="AI28" s="22">
        <f aca="true" t="shared" si="3" ref="AI28:AQ30">X22-X28</f>
        <v>23366</v>
      </c>
      <c r="AJ28" s="22">
        <f t="shared" si="3"/>
        <v>23838</v>
      </c>
      <c r="AK28" s="22">
        <f t="shared" si="3"/>
        <v>24064</v>
      </c>
      <c r="AL28" s="22">
        <f t="shared" si="3"/>
        <v>24253</v>
      </c>
      <c r="AM28" s="22">
        <f t="shared" si="3"/>
        <v>24011</v>
      </c>
      <c r="AN28" s="24">
        <f t="shared" si="3"/>
        <v>23523</v>
      </c>
      <c r="AO28" s="24">
        <f t="shared" si="3"/>
        <v>23913</v>
      </c>
      <c r="AP28" s="24">
        <f t="shared" si="3"/>
        <v>24127</v>
      </c>
      <c r="AQ28" s="24">
        <f t="shared" si="3"/>
        <v>24172</v>
      </c>
    </row>
    <row r="29" spans="1:43" s="22" customFormat="1" ht="12.75" customHeight="1">
      <c r="A29" s="104"/>
      <c r="B29" s="98" t="s">
        <v>42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V29" s="21"/>
      <c r="W29" s="22" t="s">
        <v>57</v>
      </c>
      <c r="X29" s="22">
        <v>698</v>
      </c>
      <c r="Y29" s="22">
        <v>745</v>
      </c>
      <c r="Z29" s="22">
        <v>760</v>
      </c>
      <c r="AA29" s="22">
        <v>777</v>
      </c>
      <c r="AB29" s="22">
        <v>783</v>
      </c>
      <c r="AC29" s="24">
        <f t="shared" si="2"/>
        <v>714</v>
      </c>
      <c r="AD29" s="24">
        <f t="shared" si="2"/>
        <v>750</v>
      </c>
      <c r="AE29" s="24">
        <f t="shared" si="2"/>
        <v>766</v>
      </c>
      <c r="AF29" s="24">
        <f t="shared" si="2"/>
        <v>779</v>
      </c>
      <c r="AH29" s="22" t="s">
        <v>57</v>
      </c>
      <c r="AI29" s="22">
        <f t="shared" si="3"/>
        <v>23535</v>
      </c>
      <c r="AJ29" s="22">
        <f t="shared" si="3"/>
        <v>24652</v>
      </c>
      <c r="AK29" s="22">
        <f t="shared" si="3"/>
        <v>26103</v>
      </c>
      <c r="AL29" s="22">
        <f t="shared" si="3"/>
        <v>27361</v>
      </c>
      <c r="AM29" s="22">
        <f t="shared" si="3"/>
        <v>28618</v>
      </c>
      <c r="AN29" s="24">
        <f t="shared" si="3"/>
        <v>23907</v>
      </c>
      <c r="AO29" s="24">
        <f t="shared" si="3"/>
        <v>25136</v>
      </c>
      <c r="AP29" s="24">
        <f t="shared" si="3"/>
        <v>26522</v>
      </c>
      <c r="AQ29" s="24">
        <f t="shared" si="3"/>
        <v>27780</v>
      </c>
    </row>
    <row r="30" spans="1:43" s="22" customFormat="1" ht="12.75">
      <c r="A30" s="104"/>
      <c r="B30" s="98" t="s">
        <v>41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V30" s="21"/>
      <c r="W30" s="22" t="s">
        <v>58</v>
      </c>
      <c r="X30" s="22">
        <v>44</v>
      </c>
      <c r="Y30" s="22">
        <v>53</v>
      </c>
      <c r="Z30" s="22">
        <v>48</v>
      </c>
      <c r="AA30" s="22">
        <v>42</v>
      </c>
      <c r="AB30" s="22">
        <v>39</v>
      </c>
      <c r="AC30" s="24">
        <f t="shared" si="2"/>
        <v>47</v>
      </c>
      <c r="AD30" s="24">
        <f t="shared" si="2"/>
        <v>51</v>
      </c>
      <c r="AE30" s="24">
        <f t="shared" si="2"/>
        <v>46</v>
      </c>
      <c r="AF30" s="24">
        <f t="shared" si="2"/>
        <v>41</v>
      </c>
      <c r="AH30" s="22" t="s">
        <v>58</v>
      </c>
      <c r="AI30" s="22">
        <f t="shared" si="3"/>
        <v>4650</v>
      </c>
      <c r="AJ30" s="22">
        <f t="shared" si="3"/>
        <v>4506</v>
      </c>
      <c r="AK30" s="22">
        <f t="shared" si="3"/>
        <v>4680</v>
      </c>
      <c r="AL30" s="22">
        <f t="shared" si="3"/>
        <v>5052</v>
      </c>
      <c r="AM30" s="22">
        <f t="shared" si="3"/>
        <v>5234</v>
      </c>
      <c r="AN30" s="24">
        <f t="shared" si="3"/>
        <v>4602</v>
      </c>
      <c r="AO30" s="24">
        <f t="shared" si="3"/>
        <v>4564</v>
      </c>
      <c r="AP30" s="24">
        <f t="shared" si="3"/>
        <v>4804</v>
      </c>
      <c r="AQ30" s="24">
        <f t="shared" si="3"/>
        <v>5113</v>
      </c>
    </row>
    <row r="31" spans="1:43" s="21" customFormat="1" ht="51">
      <c r="A31" s="4">
        <v>3</v>
      </c>
      <c r="B31" s="25" t="s">
        <v>52</v>
      </c>
      <c r="C31" s="25" t="s">
        <v>62</v>
      </c>
      <c r="D31" s="4" t="s">
        <v>63</v>
      </c>
      <c r="E31" s="4">
        <f aca="true" t="shared" si="4" ref="E31:H33">AN28</f>
        <v>23523</v>
      </c>
      <c r="F31" s="4">
        <f t="shared" si="4"/>
        <v>23913</v>
      </c>
      <c r="G31" s="4">
        <f t="shared" si="4"/>
        <v>24127</v>
      </c>
      <c r="H31" s="4">
        <f>AQ28</f>
        <v>24172</v>
      </c>
      <c r="I31" s="4">
        <f>H31</f>
        <v>24172</v>
      </c>
      <c r="J31" s="4">
        <f>I31</f>
        <v>24172</v>
      </c>
      <c r="K31" s="4">
        <f>J31</f>
        <v>24172</v>
      </c>
      <c r="L31" s="4">
        <f aca="true" t="shared" si="5" ref="L31:L37">H31+I31+J31+K31+G31+E31+F31</f>
        <v>168251</v>
      </c>
      <c r="M31" s="59">
        <f>AI34+AI49-172.32</f>
        <v>896437.08</v>
      </c>
      <c r="N31" s="59">
        <f>AJ34+AJ49-145.04</f>
        <v>933894.6599999999</v>
      </c>
      <c r="O31" s="59">
        <f>AK34+AK49-150.3</f>
        <v>960971.3</v>
      </c>
      <c r="P31" s="60">
        <f>773783.5-150.3</f>
        <v>773633.2</v>
      </c>
      <c r="Q31" s="60">
        <f>773783.5-150.3</f>
        <v>773633.2</v>
      </c>
      <c r="R31" s="60">
        <f>773783.5-150.3</f>
        <v>773633.2</v>
      </c>
      <c r="S31" s="60">
        <f>773783.5-150.3</f>
        <v>773633.2</v>
      </c>
      <c r="T31" s="60">
        <f aca="true" t="shared" si="6" ref="T31:T37">O31+P31+Q31+R31+S31+M31+N31</f>
        <v>5885835.840000001</v>
      </c>
      <c r="W31" s="35" t="s">
        <v>59</v>
      </c>
      <c r="X31" s="35">
        <f>X28+X29+X30</f>
        <v>1363</v>
      </c>
      <c r="Y31" s="35">
        <f aca="true" t="shared" si="7" ref="Y31:AF31">Y28+Y29+Y30</f>
        <v>1443</v>
      </c>
      <c r="Z31" s="35">
        <f t="shared" si="7"/>
        <v>1399</v>
      </c>
      <c r="AA31" s="35">
        <f t="shared" si="7"/>
        <v>1352</v>
      </c>
      <c r="AB31" s="35">
        <f t="shared" si="7"/>
        <v>1299</v>
      </c>
      <c r="AC31" s="52">
        <f t="shared" si="7"/>
        <v>1390</v>
      </c>
      <c r="AD31" s="52">
        <f t="shared" si="7"/>
        <v>1428</v>
      </c>
      <c r="AE31" s="52">
        <f t="shared" si="7"/>
        <v>1384</v>
      </c>
      <c r="AF31" s="52">
        <f t="shared" si="7"/>
        <v>1334</v>
      </c>
      <c r="AH31" s="35" t="s">
        <v>59</v>
      </c>
      <c r="AI31" s="35">
        <f>AI28+AI29+AI30</f>
        <v>51551</v>
      </c>
      <c r="AJ31" s="35">
        <f aca="true" t="shared" si="8" ref="AJ31:AP31">AJ28+AJ29+AJ30</f>
        <v>52996</v>
      </c>
      <c r="AK31" s="35">
        <f t="shared" si="8"/>
        <v>54847</v>
      </c>
      <c r="AL31" s="35">
        <f t="shared" si="8"/>
        <v>56666</v>
      </c>
      <c r="AM31" s="35">
        <f>AM28+AM29+AM30</f>
        <v>57863</v>
      </c>
      <c r="AN31" s="52">
        <f t="shared" si="8"/>
        <v>52032</v>
      </c>
      <c r="AO31" s="52">
        <f t="shared" si="8"/>
        <v>53613</v>
      </c>
      <c r="AP31" s="52">
        <f t="shared" si="8"/>
        <v>55453</v>
      </c>
      <c r="AQ31" s="52">
        <f>AQ28+AQ29+AQ30</f>
        <v>57065</v>
      </c>
    </row>
    <row r="32" spans="1:32" s="21" customFormat="1" ht="41.25" customHeight="1">
      <c r="A32" s="4">
        <v>4</v>
      </c>
      <c r="B32" s="25" t="s">
        <v>61</v>
      </c>
      <c r="C32" s="25" t="s">
        <v>62</v>
      </c>
      <c r="D32" s="4" t="s">
        <v>63</v>
      </c>
      <c r="E32" s="4">
        <f t="shared" si="4"/>
        <v>23907</v>
      </c>
      <c r="F32" s="4">
        <f t="shared" si="4"/>
        <v>25136</v>
      </c>
      <c r="G32" s="4">
        <f t="shared" si="4"/>
        <v>26522</v>
      </c>
      <c r="H32" s="4">
        <f t="shared" si="4"/>
        <v>27780</v>
      </c>
      <c r="I32" s="4">
        <f aca="true" t="shared" si="9" ref="I32:K37">H32</f>
        <v>27780</v>
      </c>
      <c r="J32" s="4">
        <f t="shared" si="9"/>
        <v>27780</v>
      </c>
      <c r="K32" s="4">
        <f t="shared" si="9"/>
        <v>27780</v>
      </c>
      <c r="L32" s="4">
        <f t="shared" si="5"/>
        <v>186685</v>
      </c>
      <c r="M32" s="59">
        <f aca="true" t="shared" si="10" ref="M32:O33">AI35+AI50</f>
        <v>1038482.2300000001</v>
      </c>
      <c r="N32" s="59">
        <f t="shared" si="10"/>
        <v>1138110.3</v>
      </c>
      <c r="O32" s="59">
        <f t="shared" si="10"/>
        <v>1238097.8</v>
      </c>
      <c r="P32" s="61">
        <v>1131174.4</v>
      </c>
      <c r="Q32" s="61">
        <v>1131174.4</v>
      </c>
      <c r="R32" s="61">
        <v>1131174.4</v>
      </c>
      <c r="S32" s="60">
        <v>1131174.4</v>
      </c>
      <c r="T32" s="60">
        <f t="shared" si="6"/>
        <v>7939387.930000001</v>
      </c>
      <c r="AC32" s="55">
        <f>AC33/AC25</f>
        <v>7.348367713676014</v>
      </c>
      <c r="AD32" s="55">
        <f>AD33/AD25</f>
        <v>7.432643592957977</v>
      </c>
      <c r="AE32" s="55">
        <f>AE33/AE25</f>
        <v>7.365659693509509</v>
      </c>
      <c r="AF32" s="55">
        <f>AF33/AF25</f>
        <v>0</v>
      </c>
    </row>
    <row r="33" spans="1:38" s="21" customFormat="1" ht="51">
      <c r="A33" s="4">
        <v>5</v>
      </c>
      <c r="B33" s="25" t="s">
        <v>53</v>
      </c>
      <c r="C33" s="25" t="s">
        <v>62</v>
      </c>
      <c r="D33" s="4" t="s">
        <v>63</v>
      </c>
      <c r="E33" s="4">
        <f t="shared" si="4"/>
        <v>4602</v>
      </c>
      <c r="F33" s="4">
        <f t="shared" si="4"/>
        <v>4564</v>
      </c>
      <c r="G33" s="4">
        <f t="shared" si="4"/>
        <v>4804</v>
      </c>
      <c r="H33" s="4">
        <f t="shared" si="4"/>
        <v>5113</v>
      </c>
      <c r="I33" s="4">
        <f t="shared" si="9"/>
        <v>5113</v>
      </c>
      <c r="J33" s="4">
        <f t="shared" si="9"/>
        <v>5113</v>
      </c>
      <c r="K33" s="4">
        <f t="shared" si="9"/>
        <v>5113</v>
      </c>
      <c r="L33" s="4">
        <f t="shared" si="5"/>
        <v>34422</v>
      </c>
      <c r="M33" s="59">
        <f t="shared" si="10"/>
        <v>225113</v>
      </c>
      <c r="N33" s="59">
        <f t="shared" si="10"/>
        <v>240775.94</v>
      </c>
      <c r="O33" s="59">
        <f t="shared" si="10"/>
        <v>253481</v>
      </c>
      <c r="P33" s="60">
        <v>253867.34600000002</v>
      </c>
      <c r="Q33" s="60">
        <v>253867.34600000002</v>
      </c>
      <c r="R33" s="60">
        <v>253867.34600000002</v>
      </c>
      <c r="S33" s="60">
        <v>253867.34600000002</v>
      </c>
      <c r="T33" s="60">
        <f t="shared" si="6"/>
        <v>1734839.324</v>
      </c>
      <c r="X33" s="35"/>
      <c r="AA33" s="68"/>
      <c r="AB33" s="70" t="s">
        <v>105</v>
      </c>
      <c r="AC33" s="54">
        <f>393825.6+185.7-66.6-1380.2</f>
        <v>392564.5</v>
      </c>
      <c r="AD33" s="65">
        <f>409332.8-232.664</f>
        <v>409100.136</v>
      </c>
      <c r="AE33" s="54">
        <v>418642</v>
      </c>
      <c r="AH33" s="35"/>
      <c r="AI33" s="22">
        <v>2020</v>
      </c>
      <c r="AJ33" s="22">
        <v>2021</v>
      </c>
      <c r="AK33" s="22">
        <v>2022</v>
      </c>
      <c r="AL33" s="22">
        <v>2023</v>
      </c>
    </row>
    <row r="34" spans="1:38" s="21" customFormat="1" ht="51">
      <c r="A34" s="4">
        <v>6</v>
      </c>
      <c r="B34" s="25" t="s">
        <v>65</v>
      </c>
      <c r="C34" s="25" t="s">
        <v>62</v>
      </c>
      <c r="D34" s="4" t="s">
        <v>63</v>
      </c>
      <c r="E34" s="4">
        <f>AC28</f>
        <v>629</v>
      </c>
      <c r="F34" s="4">
        <f>AD28</f>
        <v>627</v>
      </c>
      <c r="G34" s="4">
        <f>AE28</f>
        <v>572</v>
      </c>
      <c r="H34" s="4">
        <f>AF28</f>
        <v>514</v>
      </c>
      <c r="I34" s="4">
        <f t="shared" si="9"/>
        <v>514</v>
      </c>
      <c r="J34" s="4">
        <f t="shared" si="9"/>
        <v>514</v>
      </c>
      <c r="K34" s="4">
        <f t="shared" si="9"/>
        <v>514</v>
      </c>
      <c r="L34" s="4">
        <f t="shared" si="5"/>
        <v>3884</v>
      </c>
      <c r="M34" s="59">
        <f>AC34+AC49-904.68</f>
        <v>78133.62000000001</v>
      </c>
      <c r="N34" s="59">
        <f>AD34+AD49-901.32</f>
        <v>73139.08</v>
      </c>
      <c r="O34" s="59">
        <f>AE34+AE49-871.74</f>
        <v>68362.65999999999</v>
      </c>
      <c r="P34" s="60">
        <f>29478.5-871.74</f>
        <v>28606.76</v>
      </c>
      <c r="Q34" s="60">
        <f>29478.5-871.74</f>
        <v>28606.76</v>
      </c>
      <c r="R34" s="60">
        <f>29478.5-871.74</f>
        <v>28606.76</v>
      </c>
      <c r="S34" s="60">
        <f>29478.5-871.74</f>
        <v>28606.76</v>
      </c>
      <c r="T34" s="60">
        <f t="shared" si="6"/>
        <v>334062.4</v>
      </c>
      <c r="AA34" s="51"/>
      <c r="AB34" s="52" t="s">
        <v>106</v>
      </c>
      <c r="AC34" s="69">
        <f>ROUND(AC28*$AC$32,1)</f>
        <v>4622.1</v>
      </c>
      <c r="AD34" s="32">
        <f>ROUND(AD28*$AD$32,1)</f>
        <v>4660.3</v>
      </c>
      <c r="AE34" s="32">
        <f>ROUND(AE28*$AE$32,1)</f>
        <v>4213.2</v>
      </c>
      <c r="AF34" s="71"/>
      <c r="AH34" s="52" t="s">
        <v>109</v>
      </c>
      <c r="AI34" s="32">
        <f>ROUND($AC$32*AN28,1)</f>
        <v>172855.7</v>
      </c>
      <c r="AJ34" s="32">
        <f>ROUND($AD$32*AO28,1)</f>
        <v>177736.8</v>
      </c>
      <c r="AK34" s="32">
        <f>ROUND($AE$32*AP28,1)</f>
        <v>177711.3</v>
      </c>
      <c r="AL34" s="32">
        <f>ROUND($AF$32*AQ28,1)</f>
        <v>0</v>
      </c>
    </row>
    <row r="35" spans="1:38" s="21" customFormat="1" ht="51">
      <c r="A35" s="4">
        <v>7</v>
      </c>
      <c r="B35" s="25" t="s">
        <v>97</v>
      </c>
      <c r="C35" s="25" t="s">
        <v>62</v>
      </c>
      <c r="D35" s="4" t="s">
        <v>63</v>
      </c>
      <c r="E35" s="4">
        <f aca="true" t="shared" si="11" ref="E35:H36">AC29</f>
        <v>714</v>
      </c>
      <c r="F35" s="4">
        <f t="shared" si="11"/>
        <v>750</v>
      </c>
      <c r="G35" s="4">
        <f t="shared" si="11"/>
        <v>766</v>
      </c>
      <c r="H35" s="4">
        <f t="shared" si="11"/>
        <v>779</v>
      </c>
      <c r="I35" s="4">
        <f t="shared" si="9"/>
        <v>779</v>
      </c>
      <c r="J35" s="4">
        <f t="shared" si="9"/>
        <v>779</v>
      </c>
      <c r="K35" s="4">
        <f t="shared" si="9"/>
        <v>779</v>
      </c>
      <c r="L35" s="4">
        <f t="shared" si="5"/>
        <v>5346</v>
      </c>
      <c r="M35" s="59">
        <f>AC35+AC50-1087.8</f>
        <v>86090.4</v>
      </c>
      <c r="N35" s="59">
        <f>AD35+AD50-1118.44</f>
        <v>93304.66</v>
      </c>
      <c r="O35" s="59">
        <f>AE35+AE50-1142.76</f>
        <v>97784.84000000001</v>
      </c>
      <c r="P35" s="60">
        <f>98795.5-1142.76</f>
        <v>97652.74</v>
      </c>
      <c r="Q35" s="60">
        <f>98795.5-1142.76</f>
        <v>97652.74</v>
      </c>
      <c r="R35" s="60">
        <f>98795.5-1142.76</f>
        <v>97652.74</v>
      </c>
      <c r="S35" s="60">
        <f>98795.5-1142.76</f>
        <v>97652.74</v>
      </c>
      <c r="T35" s="60">
        <f t="shared" si="6"/>
        <v>667790.86</v>
      </c>
      <c r="AA35" s="51"/>
      <c r="AB35" s="52" t="s">
        <v>107</v>
      </c>
      <c r="AC35" s="69">
        <f>ROUND(AC29*$AC$32,1)</f>
        <v>5246.7</v>
      </c>
      <c r="AD35" s="32">
        <f>ROUND(AD29*$AD$32,1)</f>
        <v>5574.5</v>
      </c>
      <c r="AE35" s="32">
        <f>ROUND(AE29*$AE$32,1)</f>
        <v>5642.1</v>
      </c>
      <c r="AF35" s="71"/>
      <c r="AH35" s="52" t="s">
        <v>110</v>
      </c>
      <c r="AI35" s="32">
        <f>ROUND($AC$32*AN29,1)</f>
        <v>175677.4</v>
      </c>
      <c r="AJ35" s="32">
        <f>ROUND($AD$32*AO29,1)</f>
        <v>186826.9</v>
      </c>
      <c r="AK35" s="32">
        <f>ROUND($AE$32*AP29,1)</f>
        <v>195352</v>
      </c>
      <c r="AL35" s="32">
        <f>ROUND($AF$32*AQ29,1)</f>
        <v>0</v>
      </c>
    </row>
    <row r="36" spans="1:38" s="21" customFormat="1" ht="53.25" customHeight="1">
      <c r="A36" s="4">
        <v>8</v>
      </c>
      <c r="B36" s="25" t="s">
        <v>98</v>
      </c>
      <c r="C36" s="25" t="s">
        <v>62</v>
      </c>
      <c r="D36" s="4" t="s">
        <v>63</v>
      </c>
      <c r="E36" s="4">
        <f t="shared" si="11"/>
        <v>47</v>
      </c>
      <c r="F36" s="4">
        <f t="shared" si="11"/>
        <v>51</v>
      </c>
      <c r="G36" s="4">
        <f t="shared" si="11"/>
        <v>46</v>
      </c>
      <c r="H36" s="4">
        <f t="shared" si="11"/>
        <v>41</v>
      </c>
      <c r="I36" s="4">
        <f t="shared" si="9"/>
        <v>41</v>
      </c>
      <c r="J36" s="4">
        <f t="shared" si="9"/>
        <v>41</v>
      </c>
      <c r="K36" s="4">
        <f t="shared" si="9"/>
        <v>41</v>
      </c>
      <c r="L36" s="4">
        <f t="shared" si="5"/>
        <v>308</v>
      </c>
      <c r="M36" s="59">
        <f>AC36+AC51</f>
        <v>11021</v>
      </c>
      <c r="N36" s="59">
        <f>AD36+AD51</f>
        <v>12582.5</v>
      </c>
      <c r="O36" s="59">
        <f>AE36+AE51</f>
        <v>9880.199999999999</v>
      </c>
      <c r="P36" s="60">
        <v>9802</v>
      </c>
      <c r="Q36" s="60">
        <v>9802</v>
      </c>
      <c r="R36" s="60">
        <v>9802</v>
      </c>
      <c r="S36" s="60">
        <v>9802</v>
      </c>
      <c r="T36" s="60">
        <f t="shared" si="6"/>
        <v>72691.7</v>
      </c>
      <c r="AA36" s="51"/>
      <c r="AB36" s="52" t="s">
        <v>108</v>
      </c>
      <c r="AC36" s="69">
        <f>ROUND(AC30*$AC$32,1)</f>
        <v>345.4</v>
      </c>
      <c r="AD36" s="32">
        <f>ROUND(AD30*$AD$32,1)</f>
        <v>379.1</v>
      </c>
      <c r="AE36" s="32">
        <f>ROUND(AE30*$AE$32,1)</f>
        <v>338.8</v>
      </c>
      <c r="AF36" s="71"/>
      <c r="AH36" s="52" t="s">
        <v>111</v>
      </c>
      <c r="AI36" s="32">
        <f>ROUND($AC$32*AN30,1)</f>
        <v>33817.2</v>
      </c>
      <c r="AJ36" s="32">
        <f>ROUND($AD$32*AO30,1)-0.06</f>
        <v>33922.54</v>
      </c>
      <c r="AK36" s="32">
        <f>ROUND($AE$32*AP30,1)</f>
        <v>35384.6</v>
      </c>
      <c r="AL36" s="32">
        <f>ROUND($AF$32*AQ30,1)</f>
        <v>0</v>
      </c>
    </row>
    <row r="37" spans="1:37" s="21" customFormat="1" ht="25.5">
      <c r="A37" s="4">
        <v>9</v>
      </c>
      <c r="B37" s="25" t="s">
        <v>112</v>
      </c>
      <c r="C37" s="25" t="s">
        <v>62</v>
      </c>
      <c r="D37" s="4" t="s">
        <v>63</v>
      </c>
      <c r="E37" s="4">
        <v>197</v>
      </c>
      <c r="F37" s="4">
        <v>197</v>
      </c>
      <c r="G37" s="4">
        <v>204</v>
      </c>
      <c r="H37" s="4">
        <v>209</v>
      </c>
      <c r="I37" s="4">
        <f t="shared" si="9"/>
        <v>209</v>
      </c>
      <c r="J37" s="4">
        <f t="shared" si="9"/>
        <v>209</v>
      </c>
      <c r="K37" s="4">
        <f t="shared" si="9"/>
        <v>209</v>
      </c>
      <c r="L37" s="4">
        <f t="shared" si="5"/>
        <v>1434</v>
      </c>
      <c r="M37" s="59">
        <v>2164.8</v>
      </c>
      <c r="N37" s="59">
        <v>2164.8</v>
      </c>
      <c r="O37" s="59">
        <v>2164.8</v>
      </c>
      <c r="P37" s="60">
        <v>2164.8</v>
      </c>
      <c r="Q37" s="60">
        <v>2164.8</v>
      </c>
      <c r="R37" s="60">
        <v>2164.8</v>
      </c>
      <c r="S37" s="60">
        <v>2164.8</v>
      </c>
      <c r="T37" s="60">
        <f t="shared" si="6"/>
        <v>15153.599999999999</v>
      </c>
      <c r="AA37" s="51"/>
      <c r="AB37" s="51"/>
      <c r="AC37" s="64"/>
      <c r="AD37" s="64"/>
      <c r="AE37" s="64"/>
      <c r="AH37" s="51"/>
      <c r="AI37" s="64"/>
      <c r="AJ37" s="64"/>
      <c r="AK37" s="64"/>
    </row>
    <row r="38" spans="1:38" s="22" customFormat="1" ht="18" customHeight="1">
      <c r="A38" s="4"/>
      <c r="B38" s="98" t="s">
        <v>38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V38" s="50"/>
      <c r="W38" s="50"/>
      <c r="X38" s="50"/>
      <c r="Y38" s="50"/>
      <c r="Z38" s="50"/>
      <c r="AA38" s="50"/>
      <c r="AB38" s="50"/>
      <c r="AC38" s="50"/>
      <c r="AD38" s="50"/>
      <c r="AI38" s="28">
        <f>AC34+AC35+AC36+AI34+AI35+AI36</f>
        <v>392564.50000000006</v>
      </c>
      <c r="AJ38" s="28">
        <f>AD34+AD35+AD36+AJ34+AJ35+AJ36</f>
        <v>409100.13999999996</v>
      </c>
      <c r="AK38" s="28">
        <f>AE34+AE35+AE36+AK34+AK35+AK36</f>
        <v>418642</v>
      </c>
      <c r="AL38" s="28">
        <f>AF34+AF35+AF36+AL34+AL35+AL36</f>
        <v>0</v>
      </c>
    </row>
    <row r="39" spans="1:38" s="21" customFormat="1" ht="38.25">
      <c r="A39" s="4">
        <v>10</v>
      </c>
      <c r="B39" s="26" t="s">
        <v>67</v>
      </c>
      <c r="C39" s="25" t="s">
        <v>76</v>
      </c>
      <c r="D39" s="4" t="s">
        <v>77</v>
      </c>
      <c r="E39" s="72">
        <v>5434289</v>
      </c>
      <c r="F39" s="72">
        <v>5555877</v>
      </c>
      <c r="G39" s="72">
        <f>F39</f>
        <v>5555877</v>
      </c>
      <c r="H39" s="72">
        <f>G39</f>
        <v>5555877</v>
      </c>
      <c r="I39" s="72">
        <f>H39</f>
        <v>5555877</v>
      </c>
      <c r="J39" s="72">
        <f>I39</f>
        <v>5555877</v>
      </c>
      <c r="K39" s="72">
        <f>J39</f>
        <v>5555877</v>
      </c>
      <c r="L39" s="72">
        <f>G39+H39+I39+J39+K39+E39+F39</f>
        <v>38769551</v>
      </c>
      <c r="M39" s="62">
        <f>378616.2-1280.4+3833.3+66.6+1537.6-94+12046.8</f>
        <v>394726.0999999999</v>
      </c>
      <c r="N39" s="62">
        <f>392179.8-395.6</f>
        <v>391784.2</v>
      </c>
      <c r="O39" s="62">
        <f>411052.1-395.7</f>
        <v>410656.39999999997</v>
      </c>
      <c r="P39" s="62">
        <v>392110.514</v>
      </c>
      <c r="Q39" s="62">
        <v>392110.514</v>
      </c>
      <c r="R39" s="62">
        <v>392110.514</v>
      </c>
      <c r="S39" s="62">
        <v>392110.514</v>
      </c>
      <c r="T39" s="67">
        <f>P39+Q39+R39+S39+O39+M39+N39</f>
        <v>2765608.756</v>
      </c>
      <c r="V39" s="50"/>
      <c r="W39" s="50"/>
      <c r="X39" s="50"/>
      <c r="Y39" s="50"/>
      <c r="Z39" s="50"/>
      <c r="AA39" s="50"/>
      <c r="AB39" s="50"/>
      <c r="AC39" s="43"/>
      <c r="AD39" s="43"/>
      <c r="AI39" s="29">
        <f>AI38-AC33</f>
        <v>0</v>
      </c>
      <c r="AJ39" s="29">
        <f>AJ38-AD33</f>
        <v>0.003999999957159162</v>
      </c>
      <c r="AK39" s="29">
        <f>AK38-AE33</f>
        <v>0</v>
      </c>
      <c r="AL39" s="29">
        <f>AL38-AF33</f>
        <v>0</v>
      </c>
    </row>
    <row r="40" spans="1:30" s="22" customFormat="1" ht="12.75" customHeight="1">
      <c r="A40" s="4"/>
      <c r="B40" s="98" t="s">
        <v>94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V40" s="50"/>
      <c r="W40" s="50"/>
      <c r="X40" s="50"/>
      <c r="Y40" s="50"/>
      <c r="Z40" s="50"/>
      <c r="AA40" s="50"/>
      <c r="AB40" s="50"/>
      <c r="AC40" s="43"/>
      <c r="AD40" s="43"/>
    </row>
    <row r="41" spans="1:30" s="21" customFormat="1" ht="28.5" customHeight="1">
      <c r="A41" s="4">
        <v>11</v>
      </c>
      <c r="B41" s="25" t="s">
        <v>54</v>
      </c>
      <c r="C41" s="25" t="s">
        <v>68</v>
      </c>
      <c r="D41" s="4" t="s">
        <v>63</v>
      </c>
      <c r="E41" s="4">
        <v>584</v>
      </c>
      <c r="F41" s="4">
        <v>2050</v>
      </c>
      <c r="G41" s="4">
        <v>2050</v>
      </c>
      <c r="H41" s="4">
        <f>G41</f>
        <v>2050</v>
      </c>
      <c r="I41" s="4">
        <f>H41</f>
        <v>2050</v>
      </c>
      <c r="J41" s="4">
        <f>I41</f>
        <v>2050</v>
      </c>
      <c r="K41" s="4">
        <f>J41</f>
        <v>2050</v>
      </c>
      <c r="L41" s="4">
        <f>H41+I41+J41+K41+G41+E41+F41</f>
        <v>12884</v>
      </c>
      <c r="M41" s="66">
        <f>27224-15670.4-8275.6+7755.52-3278</f>
        <v>7755.52</v>
      </c>
      <c r="N41" s="58">
        <v>28314.6</v>
      </c>
      <c r="O41" s="58">
        <v>29446.2</v>
      </c>
      <c r="P41" s="3">
        <v>22152</v>
      </c>
      <c r="Q41" s="3">
        <v>22152</v>
      </c>
      <c r="R41" s="3">
        <v>22152</v>
      </c>
      <c r="S41" s="3">
        <v>22152</v>
      </c>
      <c r="T41" s="3">
        <f>P41+Q41+R41+S41+O41+M41+N41</f>
        <v>154124.32</v>
      </c>
      <c r="V41" s="50"/>
      <c r="W41" s="50"/>
      <c r="X41" s="50"/>
      <c r="Y41" s="50"/>
      <c r="Z41" s="50"/>
      <c r="AA41" s="50"/>
      <c r="AB41" s="50"/>
      <c r="AC41" s="43"/>
      <c r="AD41" s="43"/>
    </row>
    <row r="42" spans="1:30" s="22" customFormat="1" ht="16.5" customHeight="1">
      <c r="A42" s="4"/>
      <c r="B42" s="103" t="s">
        <v>95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25"/>
      <c r="V42" s="50"/>
      <c r="W42" s="50"/>
      <c r="X42" s="50"/>
      <c r="Y42" s="50"/>
      <c r="Z42" s="50"/>
      <c r="AA42" s="50"/>
      <c r="AB42" s="50"/>
      <c r="AC42" s="43"/>
      <c r="AD42" s="43"/>
    </row>
    <row r="43" spans="1:37" ht="173.25" customHeight="1">
      <c r="A43" s="4">
        <v>12</v>
      </c>
      <c r="B43" s="25" t="s">
        <v>55</v>
      </c>
      <c r="C43" s="25" t="s">
        <v>30</v>
      </c>
      <c r="D43" s="4" t="s">
        <v>82</v>
      </c>
      <c r="E43" s="4">
        <v>46</v>
      </c>
      <c r="F43" s="4">
        <v>47</v>
      </c>
      <c r="G43" s="4">
        <v>47</v>
      </c>
      <c r="H43" s="4">
        <f>G43</f>
        <v>47</v>
      </c>
      <c r="I43" s="4">
        <f>H43</f>
        <v>47</v>
      </c>
      <c r="J43" s="4">
        <f>I43</f>
        <v>47</v>
      </c>
      <c r="K43" s="4">
        <f>J43</f>
        <v>47</v>
      </c>
      <c r="L43" s="4">
        <f>J43+K43+G43+H43+I43+E43+F43</f>
        <v>328</v>
      </c>
      <c r="M43" s="63">
        <f>235.1-49.4-0.336</f>
        <v>185.36399999999998</v>
      </c>
      <c r="N43" s="63">
        <v>235.1</v>
      </c>
      <c r="O43" s="63">
        <v>235.1</v>
      </c>
      <c r="P43" s="63">
        <v>235.1</v>
      </c>
      <c r="Q43" s="63">
        <v>235.1</v>
      </c>
      <c r="R43" s="58">
        <v>235.1</v>
      </c>
      <c r="S43" s="58">
        <v>235.1</v>
      </c>
      <c r="T43" s="3">
        <f>R43+S43+Q43+P43+O43+M43+N43</f>
        <v>1595.964</v>
      </c>
      <c r="AC43" s="20">
        <v>2020</v>
      </c>
      <c r="AD43" s="20">
        <v>2021</v>
      </c>
      <c r="AE43" s="20">
        <v>2022</v>
      </c>
      <c r="AI43" s="20">
        <v>2020</v>
      </c>
      <c r="AJ43" s="20">
        <v>2021</v>
      </c>
      <c r="AK43" s="20">
        <v>2022</v>
      </c>
    </row>
    <row r="44" spans="15:20" ht="15" hidden="1">
      <c r="O44" s="18" t="e">
        <f>O26+O31+O41+#REF!+#REF!+O39</f>
        <v>#REF!</v>
      </c>
      <c r="P44" s="18" t="e">
        <f>P26+P31+P41+#REF!+#REF!+P39</f>
        <v>#REF!</v>
      </c>
      <c r="Q44" s="18" t="e">
        <f>Q26+Q31+Q41+#REF!+#REF!+Q39</f>
        <v>#REF!</v>
      </c>
      <c r="R44" s="18" t="e">
        <f>R26+R31+R41+#REF!+#REF!+R39</f>
        <v>#REF!</v>
      </c>
      <c r="S44" s="18" t="e">
        <f>S26+S31+S41+#REF!+#REF!+S39</f>
        <v>#REF!</v>
      </c>
      <c r="T44" s="18"/>
    </row>
    <row r="45" spans="15:20" ht="15" hidden="1">
      <c r="O45" s="18" t="e">
        <f>O44-'[1]Лист1'!$E$101</f>
        <v>#REF!</v>
      </c>
      <c r="P45" s="18" t="e">
        <f>P44-'[1]Лист1'!$F$101</f>
        <v>#REF!</v>
      </c>
      <c r="Q45" s="18" t="e">
        <f>Q44-'[1]Лист1'!$G$101</f>
        <v>#REF!</v>
      </c>
      <c r="R45" s="18" t="e">
        <f>R44-'[1]Лист1'!$H$101</f>
        <v>#REF!</v>
      </c>
      <c r="S45" s="18" t="e">
        <f>S44-'[1]Лист1'!$I$101</f>
        <v>#REF!</v>
      </c>
      <c r="T45" s="18"/>
    </row>
    <row r="46" spans="15:20" ht="15" hidden="1">
      <c r="O46" s="18"/>
      <c r="P46" s="18"/>
      <c r="Q46" s="18"/>
      <c r="R46" s="18"/>
      <c r="S46" s="18"/>
      <c r="T46" s="18"/>
    </row>
    <row r="47" spans="15:21" ht="15" hidden="1">
      <c r="O47" s="19">
        <f>O31/G31</f>
        <v>39.8297053094044</v>
      </c>
      <c r="P47" s="19">
        <f>P31/H31</f>
        <v>32.005345027304315</v>
      </c>
      <c r="Q47" s="19">
        <f>Q31/I31</f>
        <v>32.005345027304315</v>
      </c>
      <c r="R47" s="19">
        <f>R31/J31</f>
        <v>32.005345027304315</v>
      </c>
      <c r="S47" s="19">
        <f>S31/K31</f>
        <v>32.005345027304315</v>
      </c>
      <c r="T47" s="45"/>
      <c r="U47" s="17" t="s">
        <v>44</v>
      </c>
    </row>
    <row r="48" spans="15:28" ht="15">
      <c r="O48" s="18"/>
      <c r="P48" s="18"/>
      <c r="Q48" s="18"/>
      <c r="R48" s="18"/>
      <c r="S48" s="18"/>
      <c r="T48" s="18"/>
      <c r="AA48" s="53" t="s">
        <v>64</v>
      </c>
      <c r="AB48" s="53"/>
    </row>
    <row r="49" spans="15:37" ht="15">
      <c r="O49" s="18"/>
      <c r="P49" s="18"/>
      <c r="Q49" s="18"/>
      <c r="R49" s="18"/>
      <c r="S49" s="18"/>
      <c r="T49" s="18"/>
      <c r="AA49" s="52" t="s">
        <v>106</v>
      </c>
      <c r="AB49" s="52"/>
      <c r="AC49" s="73">
        <v>74416.2</v>
      </c>
      <c r="AD49" s="56">
        <v>69380.1</v>
      </c>
      <c r="AE49" s="56">
        <v>65021.2</v>
      </c>
      <c r="AH49" s="52" t="s">
        <v>109</v>
      </c>
      <c r="AI49" s="73">
        <v>723753.7</v>
      </c>
      <c r="AJ49" s="56">
        <v>756302.9</v>
      </c>
      <c r="AK49" s="56">
        <v>783410.3</v>
      </c>
    </row>
    <row r="50" spans="15:37" ht="15">
      <c r="O50" s="18"/>
      <c r="AA50" s="52" t="s">
        <v>107</v>
      </c>
      <c r="AB50" s="52"/>
      <c r="AC50" s="73">
        <v>81931.5</v>
      </c>
      <c r="AD50" s="56">
        <v>88848.6</v>
      </c>
      <c r="AE50" s="56">
        <v>93285.5</v>
      </c>
      <c r="AH50" s="52" t="s">
        <v>110</v>
      </c>
      <c r="AI50" s="73">
        <f>862804.8+0.03</f>
        <v>862804.8300000001</v>
      </c>
      <c r="AJ50" s="56">
        <v>951283.4</v>
      </c>
      <c r="AK50" s="56">
        <v>1042745.8</v>
      </c>
    </row>
    <row r="51" spans="13:37" ht="15" hidden="1">
      <c r="M51" s="33">
        <f>M26-'[2]2020'!$M$27-'[2]2020'!$M$28</f>
        <v>-1.1641532182693481E-10</v>
      </c>
      <c r="N51" s="20" t="s">
        <v>69</v>
      </c>
      <c r="O51" s="18"/>
      <c r="Q51" s="46"/>
      <c r="R51" s="46"/>
      <c r="S51" s="46"/>
      <c r="T51" s="18"/>
      <c r="AA51" s="52" t="s">
        <v>108</v>
      </c>
      <c r="AB51" s="52"/>
      <c r="AC51" s="73">
        <v>10675.6</v>
      </c>
      <c r="AD51" s="56">
        <v>12203.4</v>
      </c>
      <c r="AE51" s="56">
        <v>9541.4</v>
      </c>
      <c r="AH51" s="52" t="s">
        <v>111</v>
      </c>
      <c r="AI51" s="73">
        <v>191295.8</v>
      </c>
      <c r="AJ51" s="56">
        <v>206853.4</v>
      </c>
      <c r="AK51" s="56">
        <v>218096.4</v>
      </c>
    </row>
    <row r="52" spans="13:37" ht="15" hidden="1">
      <c r="M52" s="34">
        <f>M28-'[3]2020'!$M$20-'[3]2020'!$M$21-'[3]2020'!$M$22-'[3]2020'!$M$23-'[3]2020'!$M$24-'[3]2020'!$M$25</f>
        <v>-5030.999999999954</v>
      </c>
      <c r="N52" s="20" t="s">
        <v>70</v>
      </c>
      <c r="O52" s="18"/>
      <c r="Q52" s="44"/>
      <c r="R52" s="44"/>
      <c r="S52" s="46"/>
      <c r="T52" s="18"/>
      <c r="AC52" s="18"/>
      <c r="AD52" s="18"/>
      <c r="AE52" s="18"/>
      <c r="AI52" s="34"/>
      <c r="AJ52" s="18"/>
      <c r="AK52" s="18"/>
    </row>
    <row r="53" spans="5:37" ht="15" hidden="1">
      <c r="E53" s="20">
        <f>E31+E32+E33+E34+E35+E36</f>
        <v>53422</v>
      </c>
      <c r="F53" s="20">
        <f aca="true" t="shared" si="12" ref="F53:K53">F31+F32+F33+F34+F35+F36</f>
        <v>55041</v>
      </c>
      <c r="G53" s="20">
        <f t="shared" si="12"/>
        <v>56837</v>
      </c>
      <c r="H53" s="20">
        <f>H31+H32+H33+H34+H35+H36</f>
        <v>58399</v>
      </c>
      <c r="I53" s="20">
        <f t="shared" si="12"/>
        <v>58399</v>
      </c>
      <c r="J53" s="20">
        <f t="shared" si="12"/>
        <v>58399</v>
      </c>
      <c r="K53" s="20">
        <f t="shared" si="12"/>
        <v>58399</v>
      </c>
      <c r="M53" s="34">
        <f>M31+M32+M33+M34+M35+M36+M37-'[2]2020'!$M$29-'[2]2020'!$M$30-'[2]2020'!$M$36-'[2]2020'!$M$37-'[2]2020'!$M$38-'[2]2020'!$M$39-'[2]2020'!$M$40-'[2]2020'!$M$41</f>
        <v>-6.94626578479074E-11</v>
      </c>
      <c r="N53" s="20" t="s">
        <v>71</v>
      </c>
      <c r="O53" s="34"/>
      <c r="Q53" s="48"/>
      <c r="R53" s="44"/>
      <c r="S53" s="46"/>
      <c r="T53" s="18"/>
      <c r="AI53" s="74">
        <f>AC49+AC50+AC51+AI49+AI50+AI51</f>
        <v>1944877.6300000001</v>
      </c>
      <c r="AJ53" s="57">
        <f>AD49+AD50+AD51+AJ49+AJ50+AJ51</f>
        <v>2084871.7999999998</v>
      </c>
      <c r="AK53" s="57">
        <f>AE49+AE50+AE51+AK49+AK50+AK51</f>
        <v>2212100.6</v>
      </c>
    </row>
    <row r="54" spans="13:19" ht="15" hidden="1">
      <c r="M54" s="34">
        <f>M39-'[2]2020'!$M$42-'[2]2020'!$M$43-'[2]2020'!$M$44-'[2]2020'!$M$45-'[2]2020'!$M$46-'[2]2020'!$M$47-'[2]2020'!$M$48-'[2]2020'!$M$49-'[2]2020'!$M$50</f>
        <v>-4.729372449219227E-11</v>
      </c>
      <c r="N54" s="20" t="s">
        <v>72</v>
      </c>
      <c r="O54" s="47"/>
      <c r="Q54" s="49"/>
      <c r="R54" s="46"/>
      <c r="S54" s="46"/>
    </row>
    <row r="55" spans="13:30" ht="15" hidden="1">
      <c r="M55" s="33">
        <f>M41-'[2]2020'!$M$55</f>
        <v>0</v>
      </c>
      <c r="N55" s="20" t="s">
        <v>73</v>
      </c>
      <c r="O55" s="18"/>
      <c r="Q55" s="46"/>
      <c r="R55" s="21"/>
      <c r="S55" s="46"/>
      <c r="AC55" s="42"/>
      <c r="AD55" s="42"/>
    </row>
    <row r="56" spans="13:19" ht="15" hidden="1">
      <c r="M56" s="20">
        <f>M43-'[2]2020'!$M$89-'[2]2020'!$M$90</f>
        <v>0</v>
      </c>
      <c r="N56" s="20" t="s">
        <v>74</v>
      </c>
      <c r="Q56" s="44"/>
      <c r="R56" s="21"/>
      <c r="S56" s="46"/>
    </row>
    <row r="57" ht="15" hidden="1">
      <c r="Q57" s="21"/>
    </row>
    <row r="58" spans="13:19" ht="15" hidden="1">
      <c r="M58" s="31">
        <v>2020</v>
      </c>
      <c r="N58" s="31">
        <v>2021</v>
      </c>
      <c r="O58" s="31">
        <v>2022</v>
      </c>
      <c r="P58" s="31">
        <v>2023</v>
      </c>
      <c r="Q58" s="31">
        <v>2024</v>
      </c>
      <c r="R58" s="31">
        <v>2025</v>
      </c>
      <c r="S58" s="31">
        <v>2026</v>
      </c>
    </row>
    <row r="59" spans="13:20" ht="15" hidden="1">
      <c r="M59" s="75">
        <f>M31+M32+M33+M34+M35+M36+M37</f>
        <v>2337442.13</v>
      </c>
      <c r="N59" s="32">
        <f aca="true" t="shared" si="13" ref="N59:S59">N31+N32+N33+N34+N35+N36+N37</f>
        <v>2493971.94</v>
      </c>
      <c r="O59" s="32">
        <f t="shared" si="13"/>
        <v>2630742.6</v>
      </c>
      <c r="P59" s="32">
        <f t="shared" si="13"/>
        <v>2296901.246</v>
      </c>
      <c r="Q59" s="32">
        <f t="shared" si="13"/>
        <v>2296901.246</v>
      </c>
      <c r="R59" s="32">
        <f t="shared" si="13"/>
        <v>2296901.246</v>
      </c>
      <c r="S59" s="32">
        <f t="shared" si="13"/>
        <v>2296901.246</v>
      </c>
      <c r="T59" s="18"/>
    </row>
    <row r="60" spans="12:20" ht="15" hidden="1">
      <c r="L60" s="36"/>
      <c r="M60" s="32">
        <f>ROUND(M59/E53,1)</f>
        <v>43.8</v>
      </c>
      <c r="N60" s="32">
        <f aca="true" t="shared" si="14" ref="N60:S60">ROUND(N59/F53,1)</f>
        <v>45.3</v>
      </c>
      <c r="O60" s="32">
        <f>ROUND(O59/G53,1)</f>
        <v>46.3</v>
      </c>
      <c r="P60" s="32">
        <f t="shared" si="14"/>
        <v>39.3</v>
      </c>
      <c r="Q60" s="32">
        <f t="shared" si="14"/>
        <v>39.3</v>
      </c>
      <c r="R60" s="32">
        <f t="shared" si="14"/>
        <v>39.3</v>
      </c>
      <c r="S60" s="32">
        <f t="shared" si="14"/>
        <v>39.3</v>
      </c>
      <c r="T60" s="17" t="s">
        <v>75</v>
      </c>
    </row>
    <row r="61" ht="15" hidden="1"/>
    <row r="62" ht="15" hidden="1">
      <c r="S62" s="18"/>
    </row>
    <row r="63" ht="15">
      <c r="S63" s="18"/>
    </row>
    <row r="64" ht="15">
      <c r="S64" s="18"/>
    </row>
    <row r="65" spans="15:19" ht="15">
      <c r="O65" s="18"/>
      <c r="S65" s="18"/>
    </row>
    <row r="66" ht="15"/>
    <row r="67" ht="15">
      <c r="Q67" s="47"/>
    </row>
    <row r="68" ht="15"/>
    <row r="69" ht="31.5" customHeight="1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</sheetData>
  <sheetProtection/>
  <mergeCells count="28">
    <mergeCell ref="B29:T29"/>
    <mergeCell ref="B27:T27"/>
    <mergeCell ref="E21:L21"/>
    <mergeCell ref="AH27:AI27"/>
    <mergeCell ref="W27:X27"/>
    <mergeCell ref="A23:A24"/>
    <mergeCell ref="B24:T24"/>
    <mergeCell ref="B25:T25"/>
    <mergeCell ref="B40:T40"/>
    <mergeCell ref="A18:S18"/>
    <mergeCell ref="A19:A22"/>
    <mergeCell ref="D21:D22"/>
    <mergeCell ref="B38:T38"/>
    <mergeCell ref="B23:T23"/>
    <mergeCell ref="D19:T19"/>
    <mergeCell ref="D20:T20"/>
    <mergeCell ref="B19:B22"/>
    <mergeCell ref="C19:C22"/>
    <mergeCell ref="B30:T30"/>
    <mergeCell ref="M21:T21"/>
    <mergeCell ref="O5:T5"/>
    <mergeCell ref="A12:T12"/>
    <mergeCell ref="A13:T13"/>
    <mergeCell ref="B42:S42"/>
    <mergeCell ref="A29:A30"/>
    <mergeCell ref="A15:T15"/>
    <mergeCell ref="A16:T16"/>
    <mergeCell ref="A14:T14"/>
  </mergeCells>
  <printOptions/>
  <pageMargins left="0.7086614173228347" right="0.7086614173228347" top="0.7480314960629921" bottom="0.3937007874015748" header="0.31496062992125984" footer="0.31496062992125984"/>
  <pageSetup firstPageNumber="6" useFirstPageNumber="1" horizontalDpi="600" verticalDpi="600" orientation="landscape" paperSize="9" scale="61" r:id="rId3"/>
  <headerFooter>
    <oddHeader>&amp;C &amp;P</oddHeader>
  </headerFooter>
  <rowBreaks count="1" manualBreakCount="1">
    <brk id="37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2020-12-24T10:08:28Z</cp:lastPrinted>
  <dcterms:created xsi:type="dcterms:W3CDTF">2014-06-08T13:23:30Z</dcterms:created>
  <dcterms:modified xsi:type="dcterms:W3CDTF">2020-12-30T06:56:13Z</dcterms:modified>
  <cp:category/>
  <cp:version/>
  <cp:contentType/>
  <cp:contentStatus/>
</cp:coreProperties>
</file>